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heckCompatibility="1" defaultThemeVersion="124226"/>
  <bookViews>
    <workbookView xWindow="360" yWindow="75" windowWidth="19320" windowHeight="9915" activeTab="4"/>
  </bookViews>
  <sheets>
    <sheet name="КПЭоснов18г утвержд" sheetId="8" r:id="rId1"/>
    <sheet name="КПЭдоп 18г утвержд" sheetId="9" r:id="rId2"/>
    <sheet name="КПЭоснов18год" sheetId="19" r:id="rId3"/>
    <sheet name="КПЭдоп 18г год" sheetId="22" r:id="rId4"/>
    <sheet name="СправкаИКЭ 18г" sheetId="17" r:id="rId5"/>
  </sheets>
  <definedNames>
    <definedName name="riskATSSboxGraph">FALSE</definedName>
    <definedName name="riskATSSincludeSimtables">TRUE</definedName>
    <definedName name="riskATSSinputsGraphs">FALSE</definedName>
    <definedName name="riskATSSoutputStatistic">3</definedName>
    <definedName name="riskATSSpercentChangeGraph">TRUE</definedName>
    <definedName name="riskATSSpercentileGraph">TRUE</definedName>
    <definedName name="riskATSSpercentileValue">0.5</definedName>
    <definedName name="riskATSSprintReport">FALSE</definedName>
    <definedName name="riskATSSreportsInActiveBook">FALSE</definedName>
    <definedName name="riskATSSreportsSelected">TRUE</definedName>
    <definedName name="riskATSSsummaryReport">TRUE</definedName>
    <definedName name="riskATSStornadoGraph">TRUE</definedName>
    <definedName name="RiskAutoStopPercChange">1.5</definedName>
    <definedName name="RiskCollectDistributionSamples">2</definedName>
    <definedName name="RiskExcelReportsGoInNewWorkbook">FALSE</definedName>
    <definedName name="RiskExcelReportsToGenerate">7167</definedName>
    <definedName name="RiskFixedSeed">1</definedName>
    <definedName name="RiskGenerateExcelReportsAtEndOfSimulation">TRUE</definedName>
    <definedName name="RiskHasSettings">TRUE</definedName>
    <definedName name="RiskMinimizeOnStart">FALSE</definedName>
    <definedName name="RiskMonitorConvergence">FALSE</definedName>
    <definedName name="RiskNumIterations">1000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2</definedName>
    <definedName name="RiskTemplateSheetName">"myTemplate"</definedName>
    <definedName name="RiskUpdateDisplay">TRUE</definedName>
    <definedName name="RiskUseDifferentSeedForEachSim">FALSE</definedName>
    <definedName name="RiskUseFixedSeed">FALSE</definedName>
    <definedName name="RiskUseMultipleCPUs">FALSE</definedName>
    <definedName name="сирье" localSheetId="3">#REF!</definedName>
    <definedName name="сирье" localSheetId="1">#REF!</definedName>
    <definedName name="сирье" localSheetId="0">#REF!</definedName>
    <definedName name="сирье" localSheetId="2">#REF!</definedName>
    <definedName name="сирье" localSheetId="4">#REF!</definedName>
    <definedName name="сирье">#REF!</definedName>
    <definedName name="Сырье" localSheetId="3">#REF!</definedName>
    <definedName name="Сырье" localSheetId="1">#REF!</definedName>
    <definedName name="Сырье" localSheetId="0">#REF!</definedName>
    <definedName name="Сырье" localSheetId="2">#REF!</definedName>
    <definedName name="Сырье" localSheetId="4">#REF!</definedName>
    <definedName name="Сырье">#REF!</definedName>
    <definedName name="ыодлпфврж" localSheetId="3">#REF!</definedName>
    <definedName name="ыодлпфврж" localSheetId="1">#REF!</definedName>
    <definedName name="ыодлпфврж" localSheetId="0">#REF!</definedName>
    <definedName name="ыодлпфврж" localSheetId="2">#REF!</definedName>
    <definedName name="ыодлпфврж" localSheetId="4">#REF!</definedName>
    <definedName name="ыодлпфврж">#REF!</definedName>
  </definedNames>
  <calcPr calcId="124519"/>
</workbook>
</file>

<file path=xl/calcChain.xml><?xml version="1.0" encoding="utf-8"?>
<calcChain xmlns="http://schemas.openxmlformats.org/spreadsheetml/2006/main">
  <c r="E46" i="22"/>
  <c r="E30"/>
  <c r="E22"/>
  <c r="E64" i="19"/>
  <c r="K57" i="8"/>
  <c r="E67" i="19"/>
  <c r="K60" i="8"/>
  <c r="E72" i="19"/>
  <c r="F69"/>
  <c r="E69"/>
  <c r="K65" i="8"/>
  <c r="I65"/>
  <c r="E53" i="19"/>
  <c r="E44"/>
  <c r="E40"/>
  <c r="K33" i="8"/>
  <c r="D24" i="19"/>
  <c r="D27" s="1"/>
  <c r="D15" s="1"/>
  <c r="E79" l="1"/>
  <c r="E81"/>
  <c r="N38" i="8"/>
  <c r="K38"/>
  <c r="E47" i="19"/>
  <c r="E48"/>
  <c r="E49"/>
  <c r="E45"/>
  <c r="C48" i="22"/>
  <c r="F46"/>
  <c r="G46" s="1"/>
  <c r="E42"/>
  <c r="E38"/>
  <c r="E34"/>
  <c r="E32" s="1"/>
  <c r="E28"/>
  <c r="E24"/>
  <c r="E20"/>
  <c r="E16"/>
  <c r="F16" s="1"/>
  <c r="G16" s="1"/>
  <c r="F20" l="1"/>
  <c r="G20" s="1"/>
  <c r="F28"/>
  <c r="G28" s="1"/>
  <c r="F38"/>
  <c r="G38" s="1"/>
  <c r="F42"/>
  <c r="G42" s="1"/>
  <c r="F24"/>
  <c r="G24" s="1"/>
  <c r="F32"/>
  <c r="G32" s="1"/>
  <c r="G48" l="1"/>
  <c r="B7" i="17" s="1"/>
  <c r="F15" i="19" l="1"/>
  <c r="F28"/>
  <c r="F38"/>
  <c r="F42"/>
  <c r="F51"/>
  <c r="F55"/>
  <c r="F59"/>
  <c r="F64"/>
  <c r="G69"/>
  <c r="F74"/>
  <c r="F79"/>
  <c r="F86"/>
  <c r="G15"/>
  <c r="G86"/>
  <c r="G74"/>
  <c r="G59"/>
  <c r="G55"/>
  <c r="K40" i="9"/>
  <c r="G51" i="19" l="1"/>
  <c r="G28"/>
  <c r="G42"/>
  <c r="G64"/>
  <c r="G38"/>
  <c r="G79"/>
  <c r="G88" l="1"/>
  <c r="B6" i="17" s="1"/>
  <c r="B8" s="1"/>
  <c r="K24" i="9" l="1"/>
  <c r="K22"/>
  <c r="K18"/>
  <c r="K16"/>
  <c r="J16"/>
  <c r="S35" i="8"/>
  <c r="K79"/>
  <c r="J79"/>
  <c r="O79"/>
  <c r="K72"/>
  <c r="K74"/>
  <c r="J74"/>
  <c r="S67"/>
  <c r="O67"/>
  <c r="S52"/>
  <c r="S48"/>
  <c r="S44"/>
  <c r="K46"/>
  <c r="J46"/>
  <c r="K37"/>
  <c r="S31"/>
  <c r="O31"/>
  <c r="N31"/>
  <c r="J33"/>
  <c r="S21"/>
  <c r="K21"/>
  <c r="J21"/>
  <c r="O21"/>
  <c r="N21"/>
  <c r="K25"/>
  <c r="J25"/>
  <c r="J40" i="9"/>
  <c r="F74" i="8" l="1"/>
  <c r="J72"/>
  <c r="I40" i="9" l="1"/>
  <c r="J24" l="1"/>
  <c r="J18"/>
  <c r="J14"/>
  <c r="I16"/>
  <c r="R79" i="8"/>
  <c r="I79"/>
  <c r="R72"/>
  <c r="I72"/>
  <c r="I74"/>
  <c r="J76"/>
  <c r="R67"/>
  <c r="J67"/>
  <c r="R62"/>
  <c r="R57"/>
  <c r="N62"/>
  <c r="J65"/>
  <c r="R52"/>
  <c r="R48"/>
  <c r="J60"/>
  <c r="J57"/>
  <c r="R44"/>
  <c r="I38"/>
  <c r="R38"/>
  <c r="R35"/>
  <c r="J38"/>
  <c r="J35"/>
  <c r="J37"/>
  <c r="F31"/>
  <c r="J31"/>
  <c r="I33"/>
  <c r="I21"/>
  <c r="I25"/>
  <c r="M40" i="9"/>
  <c r="M52" i="8"/>
  <c r="H40" i="9"/>
  <c r="L40" s="1"/>
  <c r="D18"/>
  <c r="D36"/>
  <c r="F34"/>
  <c r="E34"/>
  <c r="E36" i="8"/>
  <c r="F36" s="1"/>
  <c r="G36" s="1"/>
  <c r="Q79"/>
  <c r="Q62"/>
  <c r="Q57"/>
  <c r="Q48"/>
  <c r="Q44"/>
  <c r="Q31"/>
  <c r="Q21"/>
  <c r="E38"/>
  <c r="M38" s="1"/>
  <c r="Q38" s="1"/>
  <c r="F38"/>
  <c r="E72"/>
  <c r="M72" s="1"/>
  <c r="Q72" s="1"/>
  <c r="M62"/>
  <c r="F72"/>
  <c r="E74"/>
  <c r="G34" i="9" l="1"/>
  <c r="J22"/>
  <c r="I28"/>
  <c r="I24"/>
  <c r="H24"/>
  <c r="I60" i="8"/>
  <c r="M31"/>
  <c r="H21"/>
  <c r="M21"/>
  <c r="I46"/>
  <c r="I44" s="1"/>
  <c r="H46"/>
  <c r="I35"/>
  <c r="I37"/>
  <c r="H33"/>
  <c r="E76"/>
  <c r="F76" s="1"/>
  <c r="G76" s="1"/>
  <c r="G74" s="1"/>
  <c r="G72" s="1"/>
  <c r="F58"/>
  <c r="E58"/>
  <c r="G45"/>
  <c r="F45"/>
  <c r="E45"/>
  <c r="E46"/>
  <c r="E32"/>
  <c r="F32" s="1"/>
  <c r="G25"/>
  <c r="G28"/>
  <c r="F28"/>
  <c r="E28"/>
  <c r="G27"/>
  <c r="F27"/>
  <c r="E27"/>
  <c r="F26"/>
  <c r="E26"/>
  <c r="G24"/>
  <c r="F24"/>
  <c r="E24"/>
  <c r="G11"/>
  <c r="F11"/>
  <c r="E11"/>
  <c r="G10"/>
  <c r="F10"/>
  <c r="E10"/>
  <c r="C42" i="9"/>
  <c r="O40"/>
  <c r="S40" s="1"/>
  <c r="N40"/>
  <c r="R40" s="1"/>
  <c r="Q40"/>
  <c r="P40"/>
  <c r="E37"/>
  <c r="E36" s="1"/>
  <c r="K36"/>
  <c r="J36"/>
  <c r="I36"/>
  <c r="H36"/>
  <c r="L36" s="1"/>
  <c r="P36" s="1"/>
  <c r="E33"/>
  <c r="F33" s="1"/>
  <c r="K32"/>
  <c r="J32"/>
  <c r="I32"/>
  <c r="H32"/>
  <c r="D32"/>
  <c r="E28"/>
  <c r="F28" s="1"/>
  <c r="E27"/>
  <c r="F27" s="1"/>
  <c r="J26"/>
  <c r="I26"/>
  <c r="H26"/>
  <c r="E26"/>
  <c r="D26"/>
  <c r="G24"/>
  <c r="F24"/>
  <c r="E24"/>
  <c r="D24"/>
  <c r="H23"/>
  <c r="H22" s="1"/>
  <c r="L22" s="1"/>
  <c r="P22" s="1"/>
  <c r="E23"/>
  <c r="F23" s="1"/>
  <c r="I22"/>
  <c r="E22"/>
  <c r="D22"/>
  <c r="F19"/>
  <c r="F18" s="1"/>
  <c r="E19"/>
  <c r="I18"/>
  <c r="H18"/>
  <c r="E18"/>
  <c r="H16"/>
  <c r="G16"/>
  <c r="F16"/>
  <c r="E16"/>
  <c r="D16"/>
  <c r="E15"/>
  <c r="F15" s="1"/>
  <c r="K14"/>
  <c r="I14"/>
  <c r="H14"/>
  <c r="E14"/>
  <c r="D14"/>
  <c r="K10"/>
  <c r="J10"/>
  <c r="I10"/>
  <c r="H10"/>
  <c r="G10"/>
  <c r="O10" s="1"/>
  <c r="S10" s="1"/>
  <c r="F10"/>
  <c r="E10"/>
  <c r="M10" s="1"/>
  <c r="Q10" s="1"/>
  <c r="D10"/>
  <c r="L10" s="1"/>
  <c r="P10" s="1"/>
  <c r="H80" i="8"/>
  <c r="L79"/>
  <c r="P79" s="1"/>
  <c r="S79"/>
  <c r="N79"/>
  <c r="M79"/>
  <c r="D74"/>
  <c r="P72"/>
  <c r="K67"/>
  <c r="N67"/>
  <c r="I67"/>
  <c r="M67" s="1"/>
  <c r="Q67" s="1"/>
  <c r="H67"/>
  <c r="L67" s="1"/>
  <c r="P67" s="1"/>
  <c r="G67"/>
  <c r="F67"/>
  <c r="E67"/>
  <c r="D67"/>
  <c r="F63"/>
  <c r="G63" s="1"/>
  <c r="E63"/>
  <c r="L62"/>
  <c r="P62" s="1"/>
  <c r="K62"/>
  <c r="O62" s="1"/>
  <c r="S62" s="1"/>
  <c r="I62"/>
  <c r="L57"/>
  <c r="P57" s="1"/>
  <c r="I57"/>
  <c r="M57" s="1"/>
  <c r="E57"/>
  <c r="K52"/>
  <c r="O52" s="1"/>
  <c r="J52"/>
  <c r="N52" s="1"/>
  <c r="I52"/>
  <c r="Q52" s="1"/>
  <c r="H52"/>
  <c r="L52" s="1"/>
  <c r="P52" s="1"/>
  <c r="G52"/>
  <c r="F52"/>
  <c r="E52"/>
  <c r="D52"/>
  <c r="K48"/>
  <c r="O48" s="1"/>
  <c r="J48"/>
  <c r="N48" s="1"/>
  <c r="I48"/>
  <c r="M48" s="1"/>
  <c r="H48"/>
  <c r="L48" s="1"/>
  <c r="P48" s="1"/>
  <c r="G48"/>
  <c r="F48"/>
  <c r="E48"/>
  <c r="D48"/>
  <c r="G46"/>
  <c r="F46"/>
  <c r="D46"/>
  <c r="K44"/>
  <c r="J44"/>
  <c r="H44"/>
  <c r="D44"/>
  <c r="G38"/>
  <c r="H37"/>
  <c r="K35"/>
  <c r="H35"/>
  <c r="E35"/>
  <c r="M35" s="1"/>
  <c r="Q35" s="1"/>
  <c r="D35"/>
  <c r="L35" s="1"/>
  <c r="K31"/>
  <c r="I31"/>
  <c r="H31"/>
  <c r="E31"/>
  <c r="D31"/>
  <c r="E29"/>
  <c r="F29" s="1"/>
  <c r="G29" s="1"/>
  <c r="H25"/>
  <c r="E25"/>
  <c r="D25"/>
  <c r="K23"/>
  <c r="J23"/>
  <c r="I23"/>
  <c r="H23"/>
  <c r="E23"/>
  <c r="D23"/>
  <c r="E21"/>
  <c r="D21"/>
  <c r="L21" s="1"/>
  <c r="P21" s="1"/>
  <c r="E18"/>
  <c r="F18" s="1"/>
  <c r="G18" s="1"/>
  <c r="K17"/>
  <c r="K20" s="1"/>
  <c r="K8" s="1"/>
  <c r="J17"/>
  <c r="J20" s="1"/>
  <c r="J8" s="1"/>
  <c r="I17"/>
  <c r="I20" s="1"/>
  <c r="I8" s="1"/>
  <c r="H17"/>
  <c r="H20" s="1"/>
  <c r="H8" s="1"/>
  <c r="D17"/>
  <c r="D20" s="1"/>
  <c r="D8" s="1"/>
  <c r="E17"/>
  <c r="E20" s="1"/>
  <c r="E8" s="1"/>
  <c r="G33" i="9" l="1"/>
  <c r="N10"/>
  <c r="R10" s="1"/>
  <c r="Q18"/>
  <c r="M18"/>
  <c r="Q36"/>
  <c r="M36"/>
  <c r="L14"/>
  <c r="P14" s="1"/>
  <c r="L26"/>
  <c r="P26" s="1"/>
  <c r="L32"/>
  <c r="P32" s="1"/>
  <c r="F37"/>
  <c r="G19"/>
  <c r="G18" s="1"/>
  <c r="O18" s="1"/>
  <c r="S18" s="1"/>
  <c r="G28"/>
  <c r="K28" s="1"/>
  <c r="K26" s="1"/>
  <c r="O26" s="1"/>
  <c r="S26" s="1"/>
  <c r="S42" s="1"/>
  <c r="M14"/>
  <c r="Q14" s="1"/>
  <c r="M22"/>
  <c r="Q22" s="1"/>
  <c r="M26"/>
  <c r="Q26" s="1"/>
  <c r="N18"/>
  <c r="R18" s="1"/>
  <c r="L18"/>
  <c r="P18" s="1"/>
  <c r="P42" s="1"/>
  <c r="E32"/>
  <c r="M32" s="1"/>
  <c r="P35" i="8"/>
  <c r="O72"/>
  <c r="S72" s="1"/>
  <c r="E44"/>
  <c r="M44" s="1"/>
  <c r="L44"/>
  <c r="P44" s="1"/>
  <c r="G32"/>
  <c r="G31" s="1"/>
  <c r="L31"/>
  <c r="P31" s="1"/>
  <c r="R31"/>
  <c r="G15" i="9"/>
  <c r="G14" s="1"/>
  <c r="F14"/>
  <c r="G27"/>
  <c r="G26" s="1"/>
  <c r="F26"/>
  <c r="F32"/>
  <c r="N26"/>
  <c r="R26" s="1"/>
  <c r="G23"/>
  <c r="G22" s="1"/>
  <c r="O22" s="1"/>
  <c r="S22" s="1"/>
  <c r="F22"/>
  <c r="O14"/>
  <c r="S14" s="1"/>
  <c r="N22"/>
  <c r="R22" s="1"/>
  <c r="G32"/>
  <c r="O32" s="1"/>
  <c r="S32" s="1"/>
  <c r="Q32"/>
  <c r="Q42" s="1"/>
  <c r="F57" i="8"/>
  <c r="N57" s="1"/>
  <c r="G58"/>
  <c r="G57" s="1"/>
  <c r="O57" s="1"/>
  <c r="S57" s="1"/>
  <c r="G26"/>
  <c r="F25"/>
  <c r="F23" s="1"/>
  <c r="F21" s="1"/>
  <c r="R21" s="1"/>
  <c r="F35"/>
  <c r="N35" s="1"/>
  <c r="G35"/>
  <c r="G44"/>
  <c r="F44"/>
  <c r="M8"/>
  <c r="Q8" s="1"/>
  <c r="Q81" s="1"/>
  <c r="O35"/>
  <c r="O44"/>
  <c r="L8"/>
  <c r="P8" s="1"/>
  <c r="P81" s="1"/>
  <c r="N44"/>
  <c r="N72"/>
  <c r="N14" i="9" l="1"/>
  <c r="G37"/>
  <c r="G36" s="1"/>
  <c r="O36" s="1"/>
  <c r="S36" s="1"/>
  <c r="F36"/>
  <c r="N32"/>
  <c r="R32" s="1"/>
  <c r="R14"/>
  <c r="F17" i="8"/>
  <c r="F20" s="1"/>
  <c r="F8" s="1"/>
  <c r="N8" s="1"/>
  <c r="G17"/>
  <c r="G20" s="1"/>
  <c r="G8" s="1"/>
  <c r="O8" s="1"/>
  <c r="S8" s="1"/>
  <c r="S81" s="1"/>
  <c r="G23"/>
  <c r="G21" s="1"/>
  <c r="R8" l="1"/>
  <c r="R81" s="1"/>
  <c r="N36" i="9"/>
  <c r="R36" s="1"/>
  <c r="R42"/>
</calcChain>
</file>

<file path=xl/sharedStrings.xml><?xml version="1.0" encoding="utf-8"?>
<sst xmlns="http://schemas.openxmlformats.org/spreadsheetml/2006/main" count="451" uniqueCount="189">
  <si>
    <t xml:space="preserve">               " Одобрен "</t>
  </si>
  <si>
    <t xml:space="preserve"> Наблюдательным Советом</t>
  </si>
  <si>
    <t>Председатель Наблюдательного Совета</t>
  </si>
  <si>
    <t>Выполнение</t>
  </si>
  <si>
    <t>№</t>
  </si>
  <si>
    <t>Показатель</t>
  </si>
  <si>
    <t>Удельный вес</t>
  </si>
  <si>
    <t>% выполнения</t>
  </si>
  <si>
    <t>В</t>
  </si>
  <si>
    <t>С</t>
  </si>
  <si>
    <t>D</t>
  </si>
  <si>
    <t>Е</t>
  </si>
  <si>
    <t>I</t>
  </si>
  <si>
    <t>Прибыль до вычета процентов , налогов и амортизации:</t>
  </si>
  <si>
    <t>D/C*100</t>
  </si>
  <si>
    <t>1 Чистая прибыль +</t>
  </si>
  <si>
    <t>2 Расходы по налогу на прибыль+</t>
  </si>
  <si>
    <t>Возмещенный налог на прибыль -</t>
  </si>
  <si>
    <t>(+Чрезвычайные расходы)</t>
  </si>
  <si>
    <t>(- Чрезвычайные доходы)</t>
  </si>
  <si>
    <t>3 Проценты уплаченные +</t>
  </si>
  <si>
    <t xml:space="preserve">   Проценты полученные -</t>
  </si>
  <si>
    <t>EBIT =(1+2+3)</t>
  </si>
  <si>
    <t>4 Амортизационные отчисления по материальным и нематериальным активам +</t>
  </si>
  <si>
    <t>Переоценка активов -</t>
  </si>
  <si>
    <t>EBITDA =(1+2+3+4)</t>
  </si>
  <si>
    <t>II</t>
  </si>
  <si>
    <t xml:space="preserve">Соотношение затрат и доходов (CIR) </t>
  </si>
  <si>
    <t>C/D*100</t>
  </si>
  <si>
    <t>(Операционные расходы/Выручка)</t>
  </si>
  <si>
    <t>1 Себестоимость продаж+</t>
  </si>
  <si>
    <t xml:space="preserve">2 Расходы периода + </t>
  </si>
  <si>
    <t>3.Выручка</t>
  </si>
  <si>
    <t>III</t>
  </si>
  <si>
    <t>Рентабельность привлеченного капитала (ROCE)</t>
  </si>
  <si>
    <t>(Чистая прибыль / Привлеченный капитал на начало и конец периода)    РПК=ЧП:((ПК1+ПК2):2)</t>
  </si>
  <si>
    <t>1 Чистая прибыль</t>
  </si>
  <si>
    <t>IV</t>
  </si>
  <si>
    <t>Рентабельность акционерного капитала (ROE)</t>
  </si>
  <si>
    <t>V</t>
  </si>
  <si>
    <t>Рентабельность инвестиций акционеров (TSR)</t>
  </si>
  <si>
    <t>(Цена акции в конце периода - цена акции в начале периода + выплаченные в течении периода дивиденды) /цена акции вначале периода</t>
  </si>
  <si>
    <t>Цена акции  в начале периода</t>
  </si>
  <si>
    <t>Цена акции  в конце периода</t>
  </si>
  <si>
    <t>Дивиденды в течении периода</t>
  </si>
  <si>
    <t>VI</t>
  </si>
  <si>
    <t>Рентабельность активов</t>
  </si>
  <si>
    <t>Крр= Пудн/Аср</t>
  </si>
  <si>
    <t>1. Пудн- прибыль до уплаты налога на прибыль (гр 5, стр 240 или убыток со знаком минус гр 6 стр240 формы№2 " Отчет о финансовых результатах")</t>
  </si>
  <si>
    <t xml:space="preserve">2. Аср- среднеарифметическая величина стоимости активов, расчитываемая по формуле             Аср=(А1+А2)/2,                               где    А1-стоимость активов на начало периода(гр3 стр 400 формы№1      " Бухгалтерский баланс";                                         А2 - стоимость активов на конец периода(гр4 стр 400 формы№1             " Бухгалтерский баланс";                    </t>
  </si>
  <si>
    <t>VII</t>
  </si>
  <si>
    <t xml:space="preserve">Коэффициент абсолютной ликвидности </t>
  </si>
  <si>
    <r>
      <t xml:space="preserve">(Рекомендуемая нижняя граница этого показателя -0,2, т.е. выполняется условие                             Кал больше 0,2)                                               </t>
    </r>
    <r>
      <rPr>
        <b/>
        <sz val="10"/>
        <rFont val="Arial Cyr"/>
        <charset val="204"/>
      </rPr>
      <t xml:space="preserve"> Кал = Дс / То</t>
    </r>
  </si>
  <si>
    <t>VIII</t>
  </si>
  <si>
    <t>Коэффициент финансовой независимости</t>
  </si>
  <si>
    <t>Ксс= П1 /(П2-До) больше 1</t>
  </si>
  <si>
    <t>1. П1 - источники собственных средств, итог раздела I пассива баланса,стр 480</t>
  </si>
  <si>
    <t>2. П2 - обязательства , раздел II пассива баланса , стр 770</t>
  </si>
  <si>
    <t>3. До - долгосрочные обязательства стр 490 бухгалтерского баланса</t>
  </si>
  <si>
    <t>IX</t>
  </si>
  <si>
    <t>Оборачиваемость кредиторской задолженности в днях</t>
  </si>
  <si>
    <t>Окр дн = Дп / (Вр / Кз ср)</t>
  </si>
  <si>
    <t>1. Вр - чистая выручка от реализации продукции отчетного периода стр 010,гр 5 форма №2 " Отчет о финансовых результатах"</t>
  </si>
  <si>
    <t>2. Дл- количество календарных дней в периоде</t>
  </si>
  <si>
    <r>
      <t xml:space="preserve">3.  Кз ср - среднее арифметическое значение </t>
    </r>
    <r>
      <rPr>
        <b/>
        <sz val="10"/>
        <rFont val="Arial Cyr"/>
        <charset val="204"/>
      </rPr>
      <t xml:space="preserve">кредиторской </t>
    </r>
    <r>
      <rPr>
        <sz val="10"/>
        <rFont val="Arial Cyr"/>
        <charset val="204"/>
      </rPr>
      <t>задолженности( половина от суммы значений на начало и конец периода по стр 601 раздела II пассива баланса формы №1 " Бухгалтерский баланс"</t>
    </r>
  </si>
  <si>
    <t>X</t>
  </si>
  <si>
    <t>Оборачиваемость дебиторской задолженности в днях</t>
  </si>
  <si>
    <t>Одз дн = Дп / (Вр / Дз ср</t>
  </si>
  <si>
    <r>
      <t xml:space="preserve">3.  Дз ср - среднее арифметическое значение </t>
    </r>
    <r>
      <rPr>
        <b/>
        <sz val="10"/>
        <rFont val="Arial Cyr"/>
        <charset val="204"/>
      </rPr>
      <t xml:space="preserve">дебиторской </t>
    </r>
    <r>
      <rPr>
        <sz val="10"/>
        <rFont val="Arial Cyr"/>
        <charset val="204"/>
      </rPr>
      <t>задолженности( половина от суммы значений на начало и конец периода по стр 210 раздела II актива баланса формы №1                          " Бухгалтерский баланс"</t>
    </r>
  </si>
  <si>
    <t>ХI</t>
  </si>
  <si>
    <t>Коэффициент покрытия (платежеспособности)</t>
  </si>
  <si>
    <t>Кпл=А2 / (П2-До)</t>
  </si>
  <si>
    <t>1. А2 -текущие активы разд II актива баланса стр 390</t>
  </si>
  <si>
    <t>3.До - долгосрочные обязательства стр 490  Бухгалтерского баланса</t>
  </si>
  <si>
    <t>ХII</t>
  </si>
  <si>
    <t>Дивидендный выход</t>
  </si>
  <si>
    <t>Дв = Дао / ЕРS</t>
  </si>
  <si>
    <t>1.  Дао - начисленный дивидент на одну простую акцию , на основании бухгалтерского учета</t>
  </si>
  <si>
    <t>2.ЕРS- доход на одну акцию определяется по формуле</t>
  </si>
  <si>
    <t>1. Чп-  чистая прибыль отчетного периода гр5 форма №2 "Отчет о финансовых результатах"</t>
  </si>
  <si>
    <t>2. ДИВ прив- начисленные дивиденды по привилегированным акциям;</t>
  </si>
  <si>
    <t>3. Као- общее число размещенных простых акций стр 152 гр 9 формы №5 " Отчет о собственном капитале"</t>
  </si>
  <si>
    <t>ХIII</t>
  </si>
  <si>
    <t>Показатель снижения дебиторской задолженности ( в % к установленному заданию)</t>
  </si>
  <si>
    <t>1. Отношение фактического показателя снижения дебиторской задолженности к прогнозному заявленному значению</t>
  </si>
  <si>
    <t>Итого</t>
  </si>
  <si>
    <t xml:space="preserve">Зам.главного бухгалтера </t>
  </si>
  <si>
    <t>К.А.Меметова</t>
  </si>
  <si>
    <t>Начальник ОСПРБ</t>
  </si>
  <si>
    <t>К.А.Хусанов</t>
  </si>
  <si>
    <t xml:space="preserve">     Наблюдательным Советом</t>
  </si>
  <si>
    <t xml:space="preserve">       Председатель правления</t>
  </si>
  <si>
    <t xml:space="preserve"> АО "Biokimyo"</t>
  </si>
  <si>
    <t>__________________У.А. Хайдаров</t>
  </si>
  <si>
    <t>дополнительных ключевых показателей эффективности</t>
  </si>
  <si>
    <t>Коэффициент износа основных средств          (превышает 0,5 значительная изношенность оборудования)</t>
  </si>
  <si>
    <t>Кизн = И / О</t>
  </si>
  <si>
    <r>
      <rPr>
        <b/>
        <sz val="10"/>
        <rFont val="Arial Cyr"/>
        <charset val="204"/>
      </rPr>
      <t xml:space="preserve">И </t>
    </r>
    <r>
      <rPr>
        <sz val="10"/>
        <rFont val="Arial Cyr"/>
        <charset val="204"/>
      </rPr>
      <t>- износ основных средств - строка 011 формы№1 "Бухгалтерский баланс"</t>
    </r>
  </si>
  <si>
    <r>
      <t xml:space="preserve">О - </t>
    </r>
    <r>
      <rPr>
        <sz val="10"/>
        <rFont val="Arial Cyr"/>
        <charset val="204"/>
      </rPr>
      <t xml:space="preserve">первоначальная стоимость основных средств- строка 010 формы №1 " Бухгалтерский баланс" </t>
    </r>
  </si>
  <si>
    <t xml:space="preserve">Коэффициент обновления  основных средств                                 </t>
  </si>
  <si>
    <t>Кн = Ан / Аос к</t>
  </si>
  <si>
    <r>
      <rPr>
        <b/>
        <sz val="10"/>
        <rFont val="Arial Cyr"/>
        <charset val="204"/>
      </rPr>
      <t xml:space="preserve">Ан </t>
    </r>
    <r>
      <rPr>
        <sz val="10"/>
        <rFont val="Arial Cyr"/>
        <charset val="204"/>
      </rPr>
      <t>- балансовая стоимость поступивших за период основных средств (строка 101, гр2 формы статотчетности 2- moliya "Отчет о наличии и движении основных средств и других нефинансовых активов"</t>
    </r>
  </si>
  <si>
    <r>
      <t xml:space="preserve">Аос к </t>
    </r>
    <r>
      <rPr>
        <sz val="10"/>
        <rFont val="Arial Cyr"/>
        <charset val="204"/>
      </rPr>
      <t xml:space="preserve">-балансовая остаточная стоимость всех основных средств на конец периода (стр 101, гр 9  формы статотчетности  2- moliya "Отчет о наличии и движении основных средств и других нефинансовых активов" </t>
    </r>
  </si>
  <si>
    <t>Производительность труда</t>
  </si>
  <si>
    <t>Вч= Вр / Чср</t>
  </si>
  <si>
    <r>
      <t xml:space="preserve">1 </t>
    </r>
    <r>
      <rPr>
        <b/>
        <sz val="10"/>
        <rFont val="Arial Cyr"/>
        <charset val="204"/>
      </rPr>
      <t>Вр</t>
    </r>
    <r>
      <rPr>
        <sz val="10"/>
        <rFont val="Arial Cyr"/>
        <charset val="204"/>
      </rPr>
      <t xml:space="preserve">- чистая выручка от реализации продукции отчетного периода ,сум;(стр 010, гр 5 формы 2 "Отчет о финансовых результатах" </t>
    </r>
  </si>
  <si>
    <r>
      <t xml:space="preserve">2 </t>
    </r>
    <r>
      <rPr>
        <b/>
        <sz val="10"/>
        <rFont val="Arial Cyr"/>
        <charset val="204"/>
      </rPr>
      <t>Чср -</t>
    </r>
    <r>
      <rPr>
        <sz val="10"/>
        <rFont val="Arial Cyr"/>
        <charset val="204"/>
      </rPr>
      <t xml:space="preserve"> среднесписочная численность сотрудников организации </t>
    </r>
  </si>
  <si>
    <t>Фондоотдача</t>
  </si>
  <si>
    <t>Фо= Вр / Фср</t>
  </si>
  <si>
    <r>
      <t xml:space="preserve">2 </t>
    </r>
    <r>
      <rPr>
        <b/>
        <sz val="10"/>
        <rFont val="Arial Cyr"/>
        <charset val="204"/>
      </rPr>
      <t xml:space="preserve">Фср </t>
    </r>
    <r>
      <rPr>
        <sz val="10"/>
        <rFont val="Arial Cyr"/>
        <charset val="204"/>
      </rPr>
      <t>- среднеарифметическая величина ОС за отчетный период. Определяется по формуле        Фср= (Ф1+ Ф2) / 2, где   Ф1 и Ф2 - стоимость ОС на начало и конец отчетного периода ,сум; стр 012, гр 3 и 4 форма№1 "Бухгалтерский баланс"</t>
    </r>
  </si>
  <si>
    <t>Коэффициент использования производственных мощностей (ниже 0,5 ,   то низкий уровень использования производственных мощностей)</t>
  </si>
  <si>
    <t>Ким=Qфакт / ((Qпроект-(Qаренд+Qконсерв))</t>
  </si>
  <si>
    <r>
      <rPr>
        <b/>
        <sz val="10"/>
        <rFont val="Arial Cyr"/>
        <charset val="204"/>
      </rPr>
      <t xml:space="preserve">Qфакт </t>
    </r>
    <r>
      <rPr>
        <sz val="10"/>
        <rFont val="Arial Cyr"/>
        <charset val="204"/>
      </rPr>
      <t>- фактический объем выпущенной продукции за отчетный период в сопоставимом стоимостном выражении</t>
    </r>
  </si>
  <si>
    <r>
      <rPr>
        <b/>
        <sz val="10"/>
        <rFont val="Arial Cyr"/>
        <charset val="204"/>
      </rPr>
      <t>Qпроект</t>
    </r>
    <r>
      <rPr>
        <sz val="10"/>
        <rFont val="Arial Cyr"/>
        <charset val="204"/>
      </rPr>
      <t>- максимальный объём выпуска продукции за установленный период времени в сопоставимом стоимостном выражении,который может достигнут при полном использовании основного технологического оборудования</t>
    </r>
  </si>
  <si>
    <r>
      <rPr>
        <b/>
        <sz val="10"/>
        <rFont val="Arial Cyr"/>
        <charset val="204"/>
      </rPr>
      <t>Qаренд</t>
    </r>
    <r>
      <rPr>
        <sz val="10"/>
        <rFont val="Arial Cyr"/>
        <charset val="204"/>
      </rPr>
      <t>-- объёмы продукции (сопоставимые ), приходящиеся на мощности , сданные в аренду</t>
    </r>
  </si>
  <si>
    <r>
      <rPr>
        <b/>
        <sz val="10"/>
        <rFont val="Arial Cyr"/>
        <charset val="204"/>
      </rPr>
      <t xml:space="preserve">Qконсерв </t>
    </r>
    <r>
      <rPr>
        <sz val="10"/>
        <rFont val="Arial Cyr"/>
        <charset val="204"/>
      </rPr>
      <t>- объёмы продукции (сопоставимые ), приходящиеся на законсервированные мощности</t>
    </r>
  </si>
  <si>
    <t>Энергоэффективность (доля затрат на энергию в структуре себестоимости продукции)</t>
  </si>
  <si>
    <t>Зз / Зп</t>
  </si>
  <si>
    <r>
      <rPr>
        <b/>
        <sz val="10"/>
        <rFont val="Arial Cyr"/>
        <charset val="204"/>
      </rPr>
      <t xml:space="preserve">Зз </t>
    </r>
    <r>
      <rPr>
        <sz val="10"/>
        <rFont val="Arial Cyr"/>
        <charset val="204"/>
      </rPr>
      <t>- совокупная стоимость затрат производственного назначения на горюче-смазочные материалы , теплоснабжение, потребление электричества, газоснабжение</t>
    </r>
  </si>
  <si>
    <r>
      <rPr>
        <b/>
        <sz val="10"/>
        <rFont val="Arial Cyr"/>
        <charset val="204"/>
      </rPr>
      <t>Зп</t>
    </r>
    <r>
      <rPr>
        <sz val="10"/>
        <rFont val="Arial Cyr"/>
        <charset val="204"/>
      </rPr>
      <t xml:space="preserve"> - себестоимость произведенной продукции</t>
    </r>
  </si>
  <si>
    <t>Затраты на обучение персонала , в расчете на одного работника</t>
  </si>
  <si>
    <t>Зобуч / Чср</t>
  </si>
  <si>
    <t xml:space="preserve">1.Зобуч -  затраты на обучение персонала </t>
  </si>
  <si>
    <t xml:space="preserve">2. Чср- среднесписочная численность сотрудников организации </t>
  </si>
  <si>
    <t xml:space="preserve">Коэффициент текучести кадров </t>
  </si>
  <si>
    <t>Чнач / Чкон</t>
  </si>
  <si>
    <t>1. Чнач и Чкон - численность сотрудников организации на начало и конец периода</t>
  </si>
  <si>
    <t xml:space="preserve">по АО "Biokimyo "  </t>
  </si>
  <si>
    <t>Показатели</t>
  </si>
  <si>
    <t>Основные ключевые показатели эффективности</t>
  </si>
  <si>
    <t>Дополнительные ключевые показатели эффективности</t>
  </si>
  <si>
    <t xml:space="preserve">Итого ИКЭ </t>
  </si>
  <si>
    <t xml:space="preserve">                     АО "Biokimyo" </t>
  </si>
  <si>
    <t>Председатель правления                                      У.А. Хайдаров</t>
  </si>
  <si>
    <t>ПЕРЕЧЕНЬ</t>
  </si>
  <si>
    <t>в том числе по кварталам</t>
  </si>
  <si>
    <t>1 кв</t>
  </si>
  <si>
    <t>(Чистая прибыль/Cреднегодовой акционерный капитал             РАК=ЧП:САК</t>
  </si>
  <si>
    <r>
      <t xml:space="preserve">2 Cреднегодовой акционерный капитал САК=(АК1+АК2)/2                          </t>
    </r>
    <r>
      <rPr>
        <b/>
        <sz val="9"/>
        <rFont val="Arial Cyr"/>
        <charset val="204"/>
      </rPr>
      <t xml:space="preserve"> АК1=А1-О1,</t>
    </r>
    <r>
      <rPr>
        <sz val="9"/>
        <rFont val="Arial Cyr"/>
        <charset val="204"/>
      </rPr>
      <t xml:space="preserve">                                                     А1-по ф1,стр 400,гр 3,                                 О1-по ф1,стр 770,гр 3,                                    </t>
    </r>
    <r>
      <rPr>
        <b/>
        <sz val="9"/>
        <rFont val="Arial Cyr"/>
        <charset val="204"/>
      </rPr>
      <t xml:space="preserve">АК2=А2-О2,  </t>
    </r>
    <r>
      <rPr>
        <sz val="9"/>
        <rFont val="Arial Cyr"/>
        <charset val="204"/>
      </rPr>
      <t xml:space="preserve">                                                 А2-по ф1,стр 400,гр 4,                                 О2-по ф1,стр 770,гр 4,                                         ,</t>
    </r>
  </si>
  <si>
    <t>1. Дс - денежные средства - сумма строк раздела актива баланса , стр 320 (стр330+340+350+360)</t>
  </si>
  <si>
    <t xml:space="preserve">2. То- текущие обязательства,       стр 600 II раздела пассива баланса </t>
  </si>
  <si>
    <t>.ЕРS=(Чп- ДИВ прив) / Као</t>
  </si>
  <si>
    <t xml:space="preserve">в том числе </t>
  </si>
  <si>
    <t>Прогноз</t>
  </si>
  <si>
    <t>Факт</t>
  </si>
  <si>
    <t>в т.ч.расходы по реализации</t>
  </si>
  <si>
    <t xml:space="preserve">административные расходы </t>
  </si>
  <si>
    <t>прочие операционные расходы</t>
  </si>
  <si>
    <t xml:space="preserve">                                                                                                            основных ключевых показателей эффективности по  АО "Biokimyo" на 2018 год                                                                                               </t>
  </si>
  <si>
    <t>1 квартал 2018г</t>
  </si>
  <si>
    <t>1 полугодие 2018г</t>
  </si>
  <si>
    <t>9 месяцев 2018г</t>
  </si>
  <si>
    <t>2018 год</t>
  </si>
  <si>
    <t>1 кв   2018 г</t>
  </si>
  <si>
    <t>КПЭ                 F=ExB/100 1кв 2018г</t>
  </si>
  <si>
    <t>КПЭ                 F=ExB/100 1полугодие 2018г</t>
  </si>
  <si>
    <t>КПЭ                 F=ExB/100   9 мес 2018г</t>
  </si>
  <si>
    <t>КПЭ                 F=ExB/100  2018г</t>
  </si>
  <si>
    <t xml:space="preserve">дополнительных ключевых показателей эффективности по  АО "Biokimyo" на 2018 год    </t>
  </si>
  <si>
    <t xml:space="preserve">1 квартал 2018г </t>
  </si>
  <si>
    <t>9 мес. 2018г</t>
  </si>
  <si>
    <t>2018     год</t>
  </si>
  <si>
    <t>КПЭ                 F=ExB/100     1кв 2018г</t>
  </si>
  <si>
    <t>КПЭ                 F=ExB/100     1полугодие  2018г</t>
  </si>
  <si>
    <t>КПЭ                 F=ExB/ 100     9месяцев   2018г</t>
  </si>
  <si>
    <t>КПЭ                 F=ExB/ 100     12месяцев   2018г</t>
  </si>
  <si>
    <t xml:space="preserve">  Операционные расходы(1+2) :</t>
  </si>
  <si>
    <t>З.Л.Ряховская</t>
  </si>
  <si>
    <r>
      <t>2</t>
    </r>
    <r>
      <rPr>
        <b/>
        <sz val="10"/>
        <rFont val="Arial Cyr"/>
        <charset val="204"/>
      </rPr>
      <t xml:space="preserve"> ПК1=УК1+О1;  </t>
    </r>
    <r>
      <rPr>
        <sz val="10"/>
        <rFont val="Arial Cyr"/>
        <charset val="204"/>
      </rPr>
      <t xml:space="preserve">                                 УК1-стр по ф1;стр 410 гр 3,              О1- по ф1;стр 770,гр3,     </t>
    </r>
    <r>
      <rPr>
        <b/>
        <sz val="10"/>
        <rFont val="Arial Cyr"/>
        <charset val="204"/>
      </rPr>
      <t xml:space="preserve">ПК2=УК21+О2;  </t>
    </r>
    <r>
      <rPr>
        <sz val="10"/>
        <rFont val="Arial Cyr"/>
        <charset val="204"/>
      </rPr>
      <t xml:space="preserve">                                 УК2-стр по ф1;стр 410 гр 4,              О2- по ф1;стр 770,гр4,</t>
    </r>
  </si>
  <si>
    <t>_________________С.М.Умаров</t>
  </si>
  <si>
    <t xml:space="preserve">основных ключевых показателей эффективности </t>
  </si>
  <si>
    <t xml:space="preserve">                     Председатель правления</t>
  </si>
  <si>
    <t xml:space="preserve">                     АО "Biokimyo"</t>
  </si>
  <si>
    <t xml:space="preserve">       _________________У.А.Хайдаров</t>
  </si>
  <si>
    <t xml:space="preserve">                    Начальник ОСПРБ                                                З.Л.Ряховская</t>
  </si>
  <si>
    <t xml:space="preserve">И.о.главного бухгалтера </t>
  </si>
  <si>
    <t xml:space="preserve">                И.о. главного бухгалтера                                       К.А Меметова</t>
  </si>
  <si>
    <t>Одз дн = Дп / (Вр / Дз ср)</t>
  </si>
  <si>
    <t>"______"_________________2019 г</t>
  </si>
  <si>
    <t xml:space="preserve">     "______"_________________2019 г</t>
  </si>
  <si>
    <t>Прогноз         на                    12 месяцев 2018 г</t>
  </si>
  <si>
    <t>Факт                     за                          12 месяцев 2018г</t>
  </si>
  <si>
    <t>КПЭ                         F=ExB/100           12 месяцев 2018г</t>
  </si>
  <si>
    <t>по  АО "Biokimyo" за 12 месяцев 2018 года</t>
  </si>
  <si>
    <t>"____"_______________  2019 г</t>
  </si>
  <si>
    <t>"_____"______________   2019 г</t>
  </si>
  <si>
    <t>по  АО "Biokimyo" за 12 месяцев 2018 г</t>
  </si>
  <si>
    <t>КПЭ                 F=ExB/100         12 месяцев 2018г</t>
  </si>
  <si>
    <t>Интегральный коэффициент эффективности за 12 месяцев 2018 года</t>
  </si>
</sst>
</file>

<file path=xl/styles.xml><?xml version="1.0" encoding="utf-8"?>
<styleSheet xmlns="http://schemas.openxmlformats.org/spreadsheetml/2006/main">
  <numFmts count="14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&quot;$&quot;\ * #,##0.00_-;\-&quot;$&quot;\ * #,##0.00_-;_-&quot;$&quot;\ * &quot;-&quot;??_-;_-@_-"/>
    <numFmt numFmtId="165" formatCode="0.0"/>
    <numFmt numFmtId="166" formatCode="#,##0.00;[Red]\(#,##0.00\)"/>
    <numFmt numFmtId="167" formatCode="&quot;$&quot;#,##0_);[Red]\(&quot;$&quot;#,##0\)"/>
    <numFmt numFmtId="168" formatCode="&quot;$&quot;#,##0.00_);[Red]\(&quot;$&quot;#,##0.00\)"/>
    <numFmt numFmtId="169" formatCode="_-* #,##0.00[$€-1]_-;\-* #,##0.00[$€-1]_-;_-* &quot;-&quot;??[$€-1]_-"/>
    <numFmt numFmtId="170" formatCode="#,##0.0_ ;[Red]\-#,##0.0\ "/>
    <numFmt numFmtId="171" formatCode="_(* #,##0.00_);_(* \(#,##0.00\);_(* &quot;-&quot;??_);_(@_)"/>
    <numFmt numFmtId="172" formatCode="#,##0__;[Red]\-#,##0__;"/>
    <numFmt numFmtId="173" formatCode="0.000"/>
    <numFmt numFmtId="174" formatCode="#,##0_ ;\-#,##0\ "/>
    <numFmt numFmtId="175" formatCode="#,##0.0"/>
  </numFmts>
  <fonts count="53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Arial Cyr"/>
      <charset val="204"/>
    </font>
    <font>
      <sz val="11"/>
      <name val="Arial Cyr"/>
      <charset val="204"/>
    </font>
    <font>
      <b/>
      <sz val="11"/>
      <name val="Arial Cyr"/>
      <charset val="204"/>
    </font>
    <font>
      <b/>
      <sz val="10"/>
      <name val="Arial Cyr"/>
      <charset val="204"/>
    </font>
    <font>
      <b/>
      <sz val="9"/>
      <name val="Arial Cyr"/>
      <charset val="204"/>
    </font>
    <font>
      <sz val="9"/>
      <name val="Arial Cyr"/>
      <charset val="204"/>
    </font>
    <font>
      <sz val="12"/>
      <name val="Arial Cyr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  <charset val="204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04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186"/>
    </font>
    <font>
      <sz val="10"/>
      <name val="Times New Roman"/>
      <family val="1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2"/>
      <color indexed="8"/>
      <name val="Times New Roman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name val="돋움"/>
      <family val="3"/>
      <charset val="129"/>
    </font>
    <font>
      <sz val="11"/>
      <name val="돋움"/>
      <family val="2"/>
      <charset val="129"/>
    </font>
    <font>
      <sz val="14"/>
      <name val="Arial Cyr"/>
      <charset val="204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61">
    <xf numFmtId="0" fontId="0" fillId="0" borderId="0"/>
    <xf numFmtId="164" fontId="2" fillId="0" borderId="0" applyFont="0" applyFill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20" borderId="0" applyNumberFormat="0" applyBorder="0" applyAlignment="0" applyProtection="0"/>
    <xf numFmtId="0" fontId="15" fillId="4" borderId="0" applyNumberFormat="0" applyBorder="0" applyAlignment="0" applyProtection="0"/>
    <xf numFmtId="0" fontId="16" fillId="21" borderId="15" applyNumberFormat="0" applyAlignment="0" applyProtection="0"/>
    <xf numFmtId="0" fontId="17" fillId="22" borderId="16" applyNumberFormat="0" applyAlignment="0" applyProtection="0"/>
    <xf numFmtId="166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5" borderId="0" applyNumberFormat="0" applyBorder="0" applyAlignment="0" applyProtection="0"/>
    <xf numFmtId="0" fontId="21" fillId="0" borderId="17" applyNumberFormat="0" applyFill="0" applyAlignment="0" applyProtection="0"/>
    <xf numFmtId="0" fontId="22" fillId="0" borderId="18" applyNumberFormat="0" applyFill="0" applyAlignment="0" applyProtection="0"/>
    <xf numFmtId="0" fontId="23" fillId="0" borderId="19" applyNumberFormat="0" applyFill="0" applyAlignment="0" applyProtection="0"/>
    <xf numFmtId="0" fontId="23" fillId="0" borderId="0" applyNumberFormat="0" applyFill="0" applyBorder="0" applyAlignment="0" applyProtection="0"/>
    <xf numFmtId="0" fontId="24" fillId="8" borderId="15" applyNumberFormat="0" applyAlignment="0" applyProtection="0"/>
    <xf numFmtId="0" fontId="25" fillId="0" borderId="20" applyNumberFormat="0" applyFill="0" applyAlignment="0" applyProtection="0"/>
    <xf numFmtId="0" fontId="26" fillId="23" borderId="0" applyNumberFormat="0" applyBorder="0" applyAlignment="0" applyProtection="0"/>
    <xf numFmtId="0" fontId="27" fillId="0" borderId="0"/>
    <xf numFmtId="0" fontId="3" fillId="24" borderId="21" applyNumberFormat="0" applyFont="0" applyAlignment="0" applyProtection="0"/>
    <xf numFmtId="0" fontId="28" fillId="21" borderId="22" applyNumberFormat="0" applyAlignment="0" applyProtection="0"/>
    <xf numFmtId="9" fontId="18" fillId="0" borderId="0" applyFont="0" applyFill="0" applyProtection="0">
      <alignment horizontal="center"/>
    </xf>
    <xf numFmtId="0" fontId="29" fillId="0" borderId="0" applyNumberFormat="0" applyFill="0" applyBorder="0" applyAlignment="0" applyProtection="0"/>
    <xf numFmtId="0" fontId="30" fillId="0" borderId="23" applyNumberFormat="0" applyFill="0" applyAlignment="0" applyProtection="0"/>
    <xf numFmtId="0" fontId="31" fillId="0" borderId="0" applyNumberFormat="0" applyFill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20" borderId="0" applyNumberFormat="0" applyBorder="0" applyAlignment="0" applyProtection="0"/>
    <xf numFmtId="0" fontId="18" fillId="0" borderId="0"/>
    <xf numFmtId="0" fontId="32" fillId="8" borderId="15" applyNumberFormat="0" applyAlignment="0" applyProtection="0"/>
    <xf numFmtId="0" fontId="33" fillId="21" borderId="22" applyNumberFormat="0" applyAlignment="0" applyProtection="0"/>
    <xf numFmtId="0" fontId="34" fillId="21" borderId="15" applyNumberFormat="0" applyAlignment="0" applyProtection="0"/>
    <xf numFmtId="44" fontId="12" fillId="0" borderId="0" applyFont="0" applyFill="0" applyBorder="0" applyAlignment="0" applyProtection="0"/>
    <xf numFmtId="0" fontId="35" fillId="0" borderId="17" applyNumberFormat="0" applyFill="0" applyAlignment="0" applyProtection="0"/>
    <xf numFmtId="0" fontId="36" fillId="0" borderId="18" applyNumberFormat="0" applyFill="0" applyAlignment="0" applyProtection="0"/>
    <xf numFmtId="0" fontId="37" fillId="0" borderId="19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23" applyNumberFormat="0" applyFill="0" applyAlignment="0" applyProtection="0"/>
    <xf numFmtId="0" fontId="39" fillId="22" borderId="16" applyNumberFormat="0" applyAlignment="0" applyProtection="0"/>
    <xf numFmtId="0" fontId="40" fillId="0" borderId="0" applyNumberFormat="0" applyFill="0" applyBorder="0" applyAlignment="0" applyProtection="0"/>
    <xf numFmtId="0" fontId="41" fillId="2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27" fillId="0" borderId="0"/>
    <xf numFmtId="0" fontId="12" fillId="0" borderId="0"/>
    <xf numFmtId="0" fontId="27" fillId="0" borderId="0"/>
    <xf numFmtId="0" fontId="27" fillId="0" borderId="0"/>
    <xf numFmtId="0" fontId="42" fillId="0" borderId="0"/>
    <xf numFmtId="0" fontId="3" fillId="0" borderId="0"/>
    <xf numFmtId="0" fontId="27" fillId="0" borderId="0"/>
    <xf numFmtId="0" fontId="43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2" fillId="0" borderId="0"/>
    <xf numFmtId="0" fontId="27" fillId="0" borderId="0" applyNumberFormat="0" applyFont="0" applyFill="0" applyBorder="0" applyAlignment="0" applyProtection="0">
      <alignment vertical="top"/>
    </xf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2" fillId="0" borderId="0"/>
    <xf numFmtId="0" fontId="1" fillId="0" borderId="0"/>
    <xf numFmtId="0" fontId="12" fillId="0" borderId="0"/>
    <xf numFmtId="0" fontId="3" fillId="0" borderId="0"/>
    <xf numFmtId="0" fontId="27" fillId="0" borderId="0"/>
    <xf numFmtId="0" fontId="43" fillId="0" borderId="0"/>
    <xf numFmtId="0" fontId="27" fillId="0" borderId="0"/>
    <xf numFmtId="0" fontId="27" fillId="0" borderId="0"/>
    <xf numFmtId="0" fontId="43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4" fillId="4" borderId="0" applyNumberFormat="0" applyBorder="0" applyAlignment="0" applyProtection="0"/>
    <xf numFmtId="0" fontId="45" fillId="0" borderId="0" applyNumberFormat="0" applyFill="0" applyBorder="0" applyAlignment="0" applyProtection="0"/>
    <xf numFmtId="0" fontId="27" fillId="24" borderId="21" applyNumberFormat="0" applyFont="0" applyAlignment="0" applyProtection="0"/>
    <xf numFmtId="9" fontId="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20" applyNumberFormat="0" applyFill="0" applyAlignment="0" applyProtection="0"/>
    <xf numFmtId="0" fontId="48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49" fillId="5" borderId="0" applyNumberFormat="0" applyBorder="0" applyAlignment="0" applyProtection="0"/>
    <xf numFmtId="0" fontId="50" fillId="0" borderId="0"/>
    <xf numFmtId="0" fontId="51" fillId="0" borderId="0"/>
  </cellStyleXfs>
  <cellXfs count="285">
    <xf numFmtId="0" fontId="0" fillId="0" borderId="0" xfId="0"/>
    <xf numFmtId="0" fontId="4" fillId="0" borderId="0" xfId="0" applyFont="1"/>
    <xf numFmtId="0" fontId="5" fillId="0" borderId="0" xfId="0" applyFont="1"/>
    <xf numFmtId="0" fontId="7" fillId="2" borderId="3" xfId="0" applyFont="1" applyFill="1" applyBorder="1"/>
    <xf numFmtId="0" fontId="0" fillId="2" borderId="4" xfId="0" applyFill="1" applyBorder="1"/>
    <xf numFmtId="0" fontId="7" fillId="2" borderId="4" xfId="0" applyFont="1" applyFill="1" applyBorder="1"/>
    <xf numFmtId="1" fontId="0" fillId="2" borderId="4" xfId="0" applyNumberFormat="1" applyFill="1" applyBorder="1"/>
    <xf numFmtId="165" fontId="0" fillId="2" borderId="4" xfId="0" applyNumberFormat="1" applyFill="1" applyBorder="1"/>
    <xf numFmtId="0" fontId="0" fillId="2" borderId="5" xfId="0" applyFill="1" applyBorder="1"/>
    <xf numFmtId="0" fontId="0" fillId="2" borderId="4" xfId="0" applyFont="1" applyFill="1" applyBorder="1"/>
    <xf numFmtId="0" fontId="0" fillId="2" borderId="4" xfId="0" applyFill="1" applyBorder="1" applyAlignment="1">
      <alignment wrapText="1"/>
    </xf>
    <xf numFmtId="165" fontId="7" fillId="2" borderId="4" xfId="0" applyNumberFormat="1" applyFont="1" applyFill="1" applyBorder="1"/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wrapText="1"/>
    </xf>
    <xf numFmtId="2" fontId="7" fillId="2" borderId="4" xfId="0" applyNumberFormat="1" applyFont="1" applyFill="1" applyBorder="1"/>
    <xf numFmtId="165" fontId="7" fillId="2" borderId="5" xfId="0" applyNumberFormat="1" applyFont="1" applyFill="1" applyBorder="1"/>
    <xf numFmtId="0" fontId="0" fillId="2" borderId="3" xfId="0" applyFill="1" applyBorder="1"/>
    <xf numFmtId="0" fontId="9" fillId="2" borderId="4" xfId="0" applyFont="1" applyFill="1" applyBorder="1" applyAlignment="1">
      <alignment vertical="top" wrapText="1"/>
    </xf>
    <xf numFmtId="0" fontId="0" fillId="2" borderId="0" xfId="0" applyFill="1"/>
    <xf numFmtId="2" fontId="0" fillId="2" borderId="4" xfId="0" applyNumberFormat="1" applyFill="1" applyBorder="1"/>
    <xf numFmtId="0" fontId="6" fillId="0" borderId="0" xfId="0" applyFont="1"/>
    <xf numFmtId="0" fontId="10" fillId="0" borderId="0" xfId="0" applyFont="1"/>
    <xf numFmtId="0" fontId="52" fillId="0" borderId="0" xfId="0" applyFont="1" applyProtection="1">
      <protection locked="0"/>
    </xf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165" fontId="10" fillId="0" borderId="14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165" fontId="10" fillId="0" borderId="5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65" fontId="4" fillId="0" borderId="8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center" vertical="center" wrapText="1"/>
    </xf>
    <xf numFmtId="0" fontId="7" fillId="0" borderId="0" xfId="0" applyFont="1"/>
    <xf numFmtId="0" fontId="0" fillId="0" borderId="0" xfId="0" applyAlignment="1">
      <alignment horizontal="left"/>
    </xf>
    <xf numFmtId="0" fontId="7" fillId="0" borderId="3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3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25" borderId="3" xfId="0" applyFont="1" applyFill="1" applyBorder="1" applyAlignment="1">
      <alignment horizontal="center"/>
    </xf>
    <xf numFmtId="0" fontId="7" fillId="25" borderId="4" xfId="0" applyFont="1" applyFill="1" applyBorder="1" applyAlignment="1">
      <alignment wrapText="1"/>
    </xf>
    <xf numFmtId="2" fontId="7" fillId="25" borderId="4" xfId="0" applyNumberFormat="1" applyFont="1" applyFill="1" applyBorder="1"/>
    <xf numFmtId="1" fontId="7" fillId="25" borderId="4" xfId="0" applyNumberFormat="1" applyFont="1" applyFill="1" applyBorder="1"/>
    <xf numFmtId="1" fontId="7" fillId="25" borderId="3" xfId="0" applyNumberFormat="1" applyFont="1" applyFill="1" applyBorder="1"/>
    <xf numFmtId="0" fontId="7" fillId="25" borderId="4" xfId="0" applyFont="1" applyFill="1" applyBorder="1"/>
    <xf numFmtId="0" fontId="7" fillId="25" borderId="5" xfId="0" applyFont="1" applyFill="1" applyBorder="1"/>
    <xf numFmtId="165" fontId="7" fillId="25" borderId="3" xfId="0" applyNumberFormat="1" applyFont="1" applyFill="1" applyBorder="1"/>
    <xf numFmtId="165" fontId="7" fillId="25" borderId="4" xfId="0" applyNumberFormat="1" applyFont="1" applyFill="1" applyBorder="1"/>
    <xf numFmtId="165" fontId="7" fillId="25" borderId="5" xfId="0" applyNumberFormat="1" applyFont="1" applyFill="1" applyBorder="1"/>
    <xf numFmtId="165" fontId="7" fillId="25" borderId="36" xfId="0" applyNumberFormat="1" applyFont="1" applyFill="1" applyBorder="1"/>
    <xf numFmtId="0" fontId="7" fillId="0" borderId="3" xfId="0" applyFont="1" applyBorder="1"/>
    <xf numFmtId="0" fontId="0" fillId="0" borderId="4" xfId="0" applyBorder="1"/>
    <xf numFmtId="0" fontId="7" fillId="0" borderId="4" xfId="0" applyFont="1" applyBorder="1"/>
    <xf numFmtId="1" fontId="0" fillId="0" borderId="4" xfId="0" applyNumberFormat="1" applyBorder="1"/>
    <xf numFmtId="0" fontId="0" fillId="0" borderId="5" xfId="0" applyBorder="1"/>
    <xf numFmtId="165" fontId="0" fillId="0" borderId="3" xfId="0" applyNumberFormat="1" applyBorder="1"/>
    <xf numFmtId="0" fontId="0" fillId="0" borderId="36" xfId="0" applyBorder="1"/>
    <xf numFmtId="0" fontId="0" fillId="0" borderId="4" xfId="0" applyBorder="1" applyAlignment="1">
      <alignment wrapText="1"/>
    </xf>
    <xf numFmtId="165" fontId="7" fillId="0" borderId="3" xfId="0" applyNumberFormat="1" applyFont="1" applyBorder="1"/>
    <xf numFmtId="165" fontId="7" fillId="0" borderId="4" xfId="0" applyNumberFormat="1" applyFont="1" applyBorder="1"/>
    <xf numFmtId="2" fontId="7" fillId="25" borderId="3" xfId="0" applyNumberFormat="1" applyFont="1" applyFill="1" applyBorder="1"/>
    <xf numFmtId="0" fontId="0" fillId="0" borderId="3" xfId="0" applyBorder="1"/>
    <xf numFmtId="0" fontId="7" fillId="2" borderId="5" xfId="0" applyFont="1" applyFill="1" applyBorder="1"/>
    <xf numFmtId="0" fontId="0" fillId="0" borderId="4" xfId="0" applyBorder="1" applyAlignment="1">
      <alignment horizontal="left"/>
    </xf>
    <xf numFmtId="0" fontId="7" fillId="0" borderId="3" xfId="0" applyFont="1" applyBorder="1" applyAlignment="1">
      <alignment horizontal="center"/>
    </xf>
    <xf numFmtId="0" fontId="0" fillId="25" borderId="4" xfId="0" applyFill="1" applyBorder="1"/>
    <xf numFmtId="0" fontId="0" fillId="25" borderId="33" xfId="0" applyFill="1" applyBorder="1"/>
    <xf numFmtId="0" fontId="0" fillId="25" borderId="3" xfId="0" applyFill="1" applyBorder="1"/>
    <xf numFmtId="0" fontId="0" fillId="25" borderId="5" xfId="0" applyFill="1" applyBorder="1"/>
    <xf numFmtId="0" fontId="0" fillId="25" borderId="36" xfId="0" applyFill="1" applyBorder="1"/>
    <xf numFmtId="0" fontId="0" fillId="25" borderId="4" xfId="0" applyFill="1" applyBorder="1" applyAlignment="1">
      <alignment vertical="top" wrapText="1"/>
    </xf>
    <xf numFmtId="2" fontId="7" fillId="25" borderId="5" xfId="0" applyNumberFormat="1" applyFont="1" applyFill="1" applyBorder="1"/>
    <xf numFmtId="0" fontId="0" fillId="0" borderId="4" xfId="0" applyBorder="1" applyAlignment="1">
      <alignment horizontal="left" vertical="top" wrapText="1"/>
    </xf>
    <xf numFmtId="2" fontId="0" fillId="25" borderId="4" xfId="0" applyNumberFormat="1" applyFill="1" applyBorder="1"/>
    <xf numFmtId="2" fontId="0" fillId="25" borderId="3" xfId="0" applyNumberFormat="1" applyFill="1" applyBorder="1"/>
    <xf numFmtId="2" fontId="0" fillId="25" borderId="5" xfId="0" applyNumberFormat="1" applyFill="1" applyBorder="1"/>
    <xf numFmtId="165" fontId="7" fillId="25" borderId="41" xfId="0" applyNumberFormat="1" applyFont="1" applyFill="1" applyBorder="1"/>
    <xf numFmtId="0" fontId="0" fillId="2" borderId="36" xfId="0" applyFill="1" applyBorder="1"/>
    <xf numFmtId="0" fontId="0" fillId="0" borderId="4" xfId="0" applyBorder="1" applyAlignment="1">
      <alignment horizontal="left" wrapText="1"/>
    </xf>
    <xf numFmtId="0" fontId="0" fillId="25" borderId="4" xfId="0" applyFill="1" applyBorder="1" applyAlignment="1">
      <alignment wrapText="1"/>
    </xf>
    <xf numFmtId="165" fontId="0" fillId="25" borderId="3" xfId="0" applyNumberFormat="1" applyFill="1" applyBorder="1"/>
    <xf numFmtId="165" fontId="0" fillId="25" borderId="4" xfId="0" applyNumberFormat="1" applyFill="1" applyBorder="1"/>
    <xf numFmtId="165" fontId="0" fillId="25" borderId="5" xfId="0" applyNumberFormat="1" applyFill="1" applyBorder="1"/>
    <xf numFmtId="165" fontId="0" fillId="25" borderId="33" xfId="0" applyNumberFormat="1" applyFill="1" applyBorder="1"/>
    <xf numFmtId="1" fontId="0" fillId="25" borderId="4" xfId="0" applyNumberFormat="1" applyFill="1" applyBorder="1"/>
    <xf numFmtId="1" fontId="0" fillId="25" borderId="5" xfId="0" applyNumberFormat="1" applyFill="1" applyBorder="1"/>
    <xf numFmtId="1" fontId="0" fillId="25" borderId="3" xfId="0" applyNumberFormat="1" applyFill="1" applyBorder="1"/>
    <xf numFmtId="0" fontId="7" fillId="25" borderId="3" xfId="0" applyFont="1" applyFill="1" applyBorder="1"/>
    <xf numFmtId="0" fontId="0" fillId="0" borderId="33" xfId="0" applyBorder="1"/>
    <xf numFmtId="2" fontId="0" fillId="0" borderId="4" xfId="0" applyNumberFormat="1" applyBorder="1"/>
    <xf numFmtId="165" fontId="0" fillId="0" borderId="33" xfId="0" applyNumberFormat="1" applyBorder="1"/>
    <xf numFmtId="2" fontId="0" fillId="0" borderId="5" xfId="0" applyNumberFormat="1" applyBorder="1"/>
    <xf numFmtId="0" fontId="0" fillId="0" borderId="6" xfId="0" applyBorder="1"/>
    <xf numFmtId="0" fontId="7" fillId="0" borderId="7" xfId="0" applyFont="1" applyBorder="1" applyAlignment="1">
      <alignment wrapText="1"/>
    </xf>
    <xf numFmtId="2" fontId="7" fillId="0" borderId="7" xfId="0" applyNumberFormat="1" applyFont="1" applyBorder="1"/>
    <xf numFmtId="0" fontId="0" fillId="0" borderId="7" xfId="0" applyBorder="1"/>
    <xf numFmtId="0" fontId="0" fillId="0" borderId="8" xfId="0" applyBorder="1"/>
    <xf numFmtId="165" fontId="7" fillId="0" borderId="43" xfId="0" applyNumberFormat="1" applyFont="1" applyBorder="1"/>
    <xf numFmtId="165" fontId="7" fillId="0" borderId="8" xfId="0" applyNumberFormat="1" applyFont="1" applyBorder="1"/>
    <xf numFmtId="0" fontId="52" fillId="0" borderId="0" xfId="0" applyFont="1"/>
    <xf numFmtId="0" fontId="7" fillId="0" borderId="3" xfId="0" applyFont="1" applyBorder="1" applyAlignment="1">
      <alignment horizontal="center" vertical="center" wrapText="1"/>
    </xf>
    <xf numFmtId="0" fontId="0" fillId="0" borderId="39" xfId="0" applyBorder="1"/>
    <xf numFmtId="0" fontId="0" fillId="0" borderId="14" xfId="0" applyBorder="1"/>
    <xf numFmtId="0" fontId="0" fillId="0" borderId="40" xfId="0" applyBorder="1"/>
    <xf numFmtId="0" fontId="0" fillId="0" borderId="49" xfId="0" applyBorder="1"/>
    <xf numFmtId="0" fontId="7" fillId="25" borderId="33" xfId="0" applyFont="1" applyFill="1" applyBorder="1"/>
    <xf numFmtId="0" fontId="0" fillId="25" borderId="49" xfId="0" applyFill="1" applyBorder="1"/>
    <xf numFmtId="0" fontId="6" fillId="25" borderId="4" xfId="0" applyFont="1" applyFill="1" applyBorder="1"/>
    <xf numFmtId="165" fontId="7" fillId="25" borderId="33" xfId="0" applyNumberFormat="1" applyFont="1" applyFill="1" applyBorder="1"/>
    <xf numFmtId="165" fontId="7" fillId="25" borderId="49" xfId="0" applyNumberFormat="1" applyFont="1" applyFill="1" applyBorder="1"/>
    <xf numFmtId="0" fontId="7" fillId="0" borderId="4" xfId="0" applyFont="1" applyBorder="1" applyAlignment="1">
      <alignment wrapText="1"/>
    </xf>
    <xf numFmtId="0" fontId="6" fillId="2" borderId="4" xfId="0" applyFont="1" applyFill="1" applyBorder="1" applyAlignment="1">
      <alignment wrapText="1"/>
    </xf>
    <xf numFmtId="173" fontId="7" fillId="25" borderId="3" xfId="0" applyNumberFormat="1" applyFont="1" applyFill="1" applyBorder="1"/>
    <xf numFmtId="173" fontId="7" fillId="25" borderId="5" xfId="0" applyNumberFormat="1" applyFont="1" applyFill="1" applyBorder="1"/>
    <xf numFmtId="0" fontId="7" fillId="25" borderId="36" xfId="0" applyFont="1" applyFill="1" applyBorder="1"/>
    <xf numFmtId="0" fontId="7" fillId="25" borderId="49" xfId="0" applyFont="1" applyFill="1" applyBorder="1"/>
    <xf numFmtId="0" fontId="6" fillId="25" borderId="4" xfId="0" applyFont="1" applyFill="1" applyBorder="1" applyAlignment="1">
      <alignment wrapText="1"/>
    </xf>
    <xf numFmtId="3" fontId="7" fillId="25" borderId="4" xfId="0" applyNumberFormat="1" applyFont="1" applyFill="1" applyBorder="1"/>
    <xf numFmtId="1" fontId="7" fillId="25" borderId="5" xfId="0" applyNumberFormat="1" applyFont="1" applyFill="1" applyBorder="1"/>
    <xf numFmtId="3" fontId="0" fillId="2" borderId="4" xfId="0" applyNumberFormat="1" applyFont="1" applyFill="1" applyBorder="1"/>
    <xf numFmtId="3" fontId="0" fillId="25" borderId="4" xfId="0" applyNumberFormat="1" applyFill="1" applyBorder="1"/>
    <xf numFmtId="4" fontId="0" fillId="25" borderId="4" xfId="0" applyNumberFormat="1" applyFill="1" applyBorder="1"/>
    <xf numFmtId="3" fontId="0" fillId="2" borderId="4" xfId="0" applyNumberFormat="1" applyFill="1" applyBorder="1"/>
    <xf numFmtId="4" fontId="7" fillId="25" borderId="4" xfId="0" applyNumberFormat="1" applyFont="1" applyFill="1" applyBorder="1"/>
    <xf numFmtId="165" fontId="0" fillId="2" borderId="36" xfId="0" applyNumberFormat="1" applyFill="1" applyBorder="1"/>
    <xf numFmtId="165" fontId="0" fillId="2" borderId="5" xfId="0" applyNumberFormat="1" applyFill="1" applyBorder="1"/>
    <xf numFmtId="165" fontId="0" fillId="2" borderId="33" xfId="0" applyNumberFormat="1" applyFill="1" applyBorder="1"/>
    <xf numFmtId="165" fontId="0" fillId="2" borderId="49" xfId="0" applyNumberFormat="1" applyFill="1" applyBorder="1"/>
    <xf numFmtId="3" fontId="0" fillId="2" borderId="5" xfId="0" applyNumberFormat="1" applyFill="1" applyBorder="1"/>
    <xf numFmtId="3" fontId="0" fillId="2" borderId="3" xfId="0" applyNumberFormat="1" applyFill="1" applyBorder="1"/>
    <xf numFmtId="165" fontId="0" fillId="25" borderId="36" xfId="0" applyNumberFormat="1" applyFill="1" applyBorder="1"/>
    <xf numFmtId="165" fontId="0" fillId="25" borderId="49" xfId="0" applyNumberFormat="1" applyFill="1" applyBorder="1"/>
    <xf numFmtId="0" fontId="6" fillId="25" borderId="4" xfId="0" applyFont="1" applyFill="1" applyBorder="1" applyAlignment="1">
      <alignment horizontal="left"/>
    </xf>
    <xf numFmtId="4" fontId="7" fillId="25" borderId="3" xfId="0" applyNumberFormat="1" applyFont="1" applyFill="1" applyBorder="1"/>
    <xf numFmtId="4" fontId="7" fillId="25" borderId="5" xfId="0" applyNumberFormat="1" applyFont="1" applyFill="1" applyBorder="1"/>
    <xf numFmtId="3" fontId="0" fillId="0" borderId="4" xfId="0" applyNumberFormat="1" applyBorder="1"/>
    <xf numFmtId="3" fontId="0" fillId="0" borderId="5" xfId="0" applyNumberFormat="1" applyBorder="1"/>
    <xf numFmtId="165" fontId="0" fillId="0" borderId="36" xfId="0" applyNumberFormat="1" applyBorder="1"/>
    <xf numFmtId="165" fontId="0" fillId="0" borderId="5" xfId="0" applyNumberFormat="1" applyBorder="1"/>
    <xf numFmtId="165" fontId="0" fillId="0" borderId="49" xfId="0" applyNumberFormat="1" applyBorder="1"/>
    <xf numFmtId="0" fontId="4" fillId="0" borderId="7" xfId="0" applyFont="1" applyBorder="1"/>
    <xf numFmtId="2" fontId="6" fillId="0" borderId="7" xfId="0" applyNumberFormat="1" applyFont="1" applyBorder="1"/>
    <xf numFmtId="165" fontId="7" fillId="0" borderId="42" xfId="0" applyNumberFormat="1" applyFont="1" applyBorder="1"/>
    <xf numFmtId="165" fontId="7" fillId="0" borderId="50" xfId="0" applyNumberFormat="1" applyFont="1" applyBorder="1"/>
    <xf numFmtId="0" fontId="6" fillId="0" borderId="0" xfId="0" applyFont="1" applyBorder="1" applyAlignment="1"/>
    <xf numFmtId="0" fontId="0" fillId="26" borderId="4" xfId="0" applyFill="1" applyBorder="1"/>
    <xf numFmtId="2" fontId="7" fillId="0" borderId="4" xfId="0" applyNumberFormat="1" applyFont="1" applyBorder="1"/>
    <xf numFmtId="3" fontId="7" fillId="25" borderId="5" xfId="0" applyNumberFormat="1" applyFont="1" applyFill="1" applyBorder="1"/>
    <xf numFmtId="3" fontId="0" fillId="25" borderId="5" xfId="0" applyNumberFormat="1" applyFill="1" applyBorder="1"/>
    <xf numFmtId="4" fontId="0" fillId="25" borderId="5" xfId="0" applyNumberFormat="1" applyFill="1" applyBorder="1"/>
    <xf numFmtId="0" fontId="0" fillId="2" borderId="5" xfId="0" applyFont="1" applyFill="1" applyBorder="1"/>
    <xf numFmtId="1" fontId="0" fillId="2" borderId="5" xfId="0" applyNumberFormat="1" applyFill="1" applyBorder="1"/>
    <xf numFmtId="2" fontId="0" fillId="2" borderId="5" xfId="0" applyNumberFormat="1" applyFill="1" applyBorder="1"/>
    <xf numFmtId="0" fontId="0" fillId="26" borderId="3" xfId="0" applyFill="1" applyBorder="1"/>
    <xf numFmtId="1" fontId="0" fillId="26" borderId="3" xfId="0" applyNumberFormat="1" applyFill="1" applyBorder="1"/>
    <xf numFmtId="3" fontId="0" fillId="26" borderId="4" xfId="0" applyNumberFormat="1" applyFill="1" applyBorder="1"/>
    <xf numFmtId="0" fontId="7" fillId="26" borderId="3" xfId="0" applyFont="1" applyFill="1" applyBorder="1"/>
    <xf numFmtId="3" fontId="0" fillId="26" borderId="3" xfId="0" applyNumberFormat="1" applyFill="1" applyBorder="1"/>
    <xf numFmtId="1" fontId="7" fillId="26" borderId="3" xfId="0" applyNumberFormat="1" applyFont="1" applyFill="1" applyBorder="1"/>
    <xf numFmtId="173" fontId="0" fillId="25" borderId="3" xfId="0" applyNumberFormat="1" applyFill="1" applyBorder="1"/>
    <xf numFmtId="173" fontId="0" fillId="25" borderId="4" xfId="0" applyNumberFormat="1" applyFill="1" applyBorder="1"/>
    <xf numFmtId="165" fontId="0" fillId="26" borderId="3" xfId="0" applyNumberFormat="1" applyFill="1" applyBorder="1"/>
    <xf numFmtId="174" fontId="3" fillId="26" borderId="3" xfId="1" applyNumberFormat="1" applyFont="1" applyFill="1" applyBorder="1"/>
    <xf numFmtId="4" fontId="0" fillId="2" borderId="4" xfId="0" applyNumberFormat="1" applyFill="1" applyBorder="1"/>
    <xf numFmtId="0" fontId="7" fillId="0" borderId="1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0" fillId="0" borderId="12" xfId="0" applyBorder="1"/>
    <xf numFmtId="0" fontId="0" fillId="0" borderId="13" xfId="0" applyBorder="1"/>
    <xf numFmtId="0" fontId="6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0" fillId="27" borderId="4" xfId="0" applyFill="1" applyBorder="1"/>
    <xf numFmtId="0" fontId="0" fillId="27" borderId="5" xfId="0" applyFill="1" applyBorder="1"/>
    <xf numFmtId="1" fontId="0" fillId="27" borderId="4" xfId="0" applyNumberFormat="1" applyFont="1" applyFill="1" applyBorder="1"/>
    <xf numFmtId="1" fontId="0" fillId="27" borderId="5" xfId="0" applyNumberFormat="1" applyFont="1" applyFill="1" applyBorder="1"/>
    <xf numFmtId="0" fontId="0" fillId="27" borderId="4" xfId="0" applyFont="1" applyFill="1" applyBorder="1"/>
    <xf numFmtId="1" fontId="7" fillId="27" borderId="4" xfId="0" applyNumberFormat="1" applyFont="1" applyFill="1" applyBorder="1"/>
    <xf numFmtId="1" fontId="7" fillId="27" borderId="5" xfId="0" applyNumberFormat="1" applyFont="1" applyFill="1" applyBorder="1"/>
    <xf numFmtId="0" fontId="0" fillId="27" borderId="5" xfId="0" applyFont="1" applyFill="1" applyBorder="1"/>
    <xf numFmtId="1" fontId="0" fillId="27" borderId="4" xfId="0" applyNumberFormat="1" applyFill="1" applyBorder="1"/>
    <xf numFmtId="1" fontId="0" fillId="27" borderId="5" xfId="0" applyNumberFormat="1" applyFill="1" applyBorder="1"/>
    <xf numFmtId="0" fontId="7" fillId="27" borderId="4" xfId="0" applyFont="1" applyFill="1" applyBorder="1"/>
    <xf numFmtId="0" fontId="7" fillId="27" borderId="5" xfId="0" applyFont="1" applyFill="1" applyBorder="1"/>
    <xf numFmtId="0" fontId="0" fillId="27" borderId="3" xfId="0" applyFill="1" applyBorder="1"/>
    <xf numFmtId="3" fontId="0" fillId="27" borderId="4" xfId="0" applyNumberFormat="1" applyFill="1" applyBorder="1"/>
    <xf numFmtId="0" fontId="4" fillId="0" borderId="0" xfId="0" applyFont="1" applyFill="1" applyBorder="1" applyAlignment="1">
      <alignment horizontal="center" wrapText="1"/>
    </xf>
    <xf numFmtId="2" fontId="0" fillId="27" borderId="4" xfId="0" applyNumberFormat="1" applyFill="1" applyBorder="1"/>
    <xf numFmtId="1" fontId="0" fillId="27" borderId="3" xfId="0" applyNumberFormat="1" applyFill="1" applyBorder="1"/>
    <xf numFmtId="4" fontId="0" fillId="2" borderId="5" xfId="0" applyNumberFormat="1" applyFill="1" applyBorder="1"/>
    <xf numFmtId="0" fontId="0" fillId="2" borderId="10" xfId="0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6" fillId="0" borderId="0" xfId="0" applyFont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7" fillId="25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7" fillId="25" borderId="13" xfId="0" applyFont="1" applyFill="1" applyBorder="1" applyAlignment="1">
      <alignment wrapText="1"/>
    </xf>
    <xf numFmtId="0" fontId="0" fillId="25" borderId="13" xfId="0" applyFill="1" applyBorder="1"/>
    <xf numFmtId="0" fontId="7" fillId="25" borderId="13" xfId="0" applyFont="1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5" borderId="14" xfId="0" applyFill="1" applyBorder="1"/>
    <xf numFmtId="0" fontId="7" fillId="25" borderId="12" xfId="0" applyFont="1" applyFill="1" applyBorder="1" applyAlignment="1">
      <alignment horizontal="center"/>
    </xf>
    <xf numFmtId="175" fontId="0" fillId="2" borderId="4" xfId="0" applyNumberFormat="1" applyFill="1" applyBorder="1"/>
    <xf numFmtId="3" fontId="7" fillId="2" borderId="4" xfId="0" applyNumberFormat="1" applyFont="1" applyFill="1" applyBorder="1"/>
    <xf numFmtId="0" fontId="0" fillId="2" borderId="41" xfId="0" applyFill="1" applyBorder="1"/>
    <xf numFmtId="0" fontId="4" fillId="2" borderId="0" xfId="0" applyFont="1" applyFill="1" applyBorder="1" applyAlignment="1">
      <alignment horizontal="left" wrapText="1"/>
    </xf>
    <xf numFmtId="0" fontId="7" fillId="0" borderId="31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26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9" xfId="0" applyBorder="1" applyAlignment="1">
      <alignment horizontal="center"/>
    </xf>
    <xf numFmtId="0" fontId="7" fillId="0" borderId="30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9" fillId="0" borderId="38" xfId="0" applyFont="1" applyBorder="1"/>
    <xf numFmtId="0" fontId="9" fillId="0" borderId="14" xfId="0" applyFont="1" applyBorder="1"/>
    <xf numFmtId="0" fontId="8" fillId="0" borderId="44" xfId="0" applyFont="1" applyBorder="1" applyAlignment="1">
      <alignment horizontal="center" vertical="center" wrapText="1"/>
    </xf>
    <xf numFmtId="0" fontId="9" fillId="0" borderId="46" xfId="0" applyFont="1" applyBorder="1"/>
    <xf numFmtId="0" fontId="9" fillId="0" borderId="40" xfId="0" applyFont="1" applyBorder="1"/>
    <xf numFmtId="0" fontId="8" fillId="0" borderId="45" xfId="0" applyFont="1" applyBorder="1" applyAlignment="1">
      <alignment horizontal="center" vertical="center" wrapText="1"/>
    </xf>
    <xf numFmtId="0" fontId="9" fillId="0" borderId="47" xfId="0" applyFont="1" applyBorder="1"/>
    <xf numFmtId="0" fontId="9" fillId="0" borderId="48" xfId="0" applyFont="1" applyBorder="1"/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32" xfId="0" applyBorder="1"/>
    <xf numFmtId="0" fontId="0" fillId="0" borderId="12" xfId="0" applyBorder="1"/>
    <xf numFmtId="0" fontId="7" fillId="0" borderId="24" xfId="0" applyFont="1" applyBorder="1" applyAlignment="1">
      <alignment horizontal="center" vertical="center"/>
    </xf>
    <xf numFmtId="0" fontId="0" fillId="0" borderId="25" xfId="0" applyBorder="1"/>
    <xf numFmtId="0" fontId="0" fillId="0" borderId="13" xfId="0" applyBorder="1"/>
    <xf numFmtId="0" fontId="7" fillId="0" borderId="24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/>
    </xf>
    <xf numFmtId="0" fontId="8" fillId="0" borderId="30" xfId="0" applyFont="1" applyBorder="1" applyAlignment="1">
      <alignment horizontal="center" vertical="center" wrapText="1"/>
    </xf>
    <xf numFmtId="0" fontId="9" fillId="0" borderId="37" xfId="0" applyFont="1" applyBorder="1"/>
    <xf numFmtId="0" fontId="9" fillId="0" borderId="39" xfId="0" applyFont="1" applyBorder="1"/>
    <xf numFmtId="0" fontId="6" fillId="0" borderId="0" xfId="0" applyFont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7" fillId="2" borderId="52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6" xfId="0" applyFill="1" applyBorder="1"/>
    <xf numFmtId="0" fontId="7" fillId="2" borderId="1" xfId="0" applyFont="1" applyFill="1" applyBorder="1" applyAlignment="1">
      <alignment horizontal="center" vertical="center"/>
    </xf>
    <xf numFmtId="0" fontId="0" fillId="2" borderId="4" xfId="0" applyFill="1" applyBorder="1"/>
    <xf numFmtId="0" fontId="0" fillId="2" borderId="7" xfId="0" applyFill="1" applyBorder="1"/>
    <xf numFmtId="0" fontId="4" fillId="0" borderId="0" xfId="0" applyFont="1" applyFill="1" applyBorder="1" applyAlignment="1">
      <alignment horizontal="center" wrapText="1"/>
    </xf>
    <xf numFmtId="0" fontId="4" fillId="0" borderId="0" xfId="0" applyFont="1" applyAlignment="1">
      <alignment horizontal="left"/>
    </xf>
  </cellXfs>
  <cellStyles count="161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Акцент1 2" xfId="8"/>
    <cellStyle name="20% - Акцент2 2" xfId="9"/>
    <cellStyle name="20% - Акцент3 2" xfId="10"/>
    <cellStyle name="20% - Акцент4 2" xfId="11"/>
    <cellStyle name="20% - Акцент5 2" xfId="12"/>
    <cellStyle name="20% - Акцент6 2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40% - Акцент1 2" xfId="20"/>
    <cellStyle name="40% - Акцент2 2" xfId="21"/>
    <cellStyle name="40% - Акцент3 2" xfId="22"/>
    <cellStyle name="40% - Акцент4 2" xfId="23"/>
    <cellStyle name="40% - Акцент5 2" xfId="24"/>
    <cellStyle name="40% - Акцент6 2" xfId="25"/>
    <cellStyle name="60% - Accent1" xfId="26"/>
    <cellStyle name="60% - Accent2" xfId="27"/>
    <cellStyle name="60% - Accent3" xfId="28"/>
    <cellStyle name="60% - Accent4" xfId="29"/>
    <cellStyle name="60% - Accent5" xfId="30"/>
    <cellStyle name="60% - Accent6" xfId="31"/>
    <cellStyle name="60% - Акцент1 2" xfId="32"/>
    <cellStyle name="60% - Акцент2 2" xfId="33"/>
    <cellStyle name="60% - Акцент3 2" xfId="34"/>
    <cellStyle name="60% - Акцент4 2" xfId="35"/>
    <cellStyle name="60% - Акцент5 2" xfId="36"/>
    <cellStyle name="60% - Акцент6 2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Bad" xfId="44"/>
    <cellStyle name="Calculation" xfId="45"/>
    <cellStyle name="Check Cell" xfId="46"/>
    <cellStyle name="Comma_Balance" xfId="47"/>
    <cellStyle name="Currency [0]_SCHEDULE.XLS" xfId="48"/>
    <cellStyle name="Currency_SCHEDULE.XLS" xfId="49"/>
    <cellStyle name="Euro" xfId="50"/>
    <cellStyle name="Explanatory Text" xfId="51"/>
    <cellStyle name="Good" xfId="52"/>
    <cellStyle name="Heading 1" xfId="53"/>
    <cellStyle name="Heading 2" xfId="54"/>
    <cellStyle name="Heading 3" xfId="55"/>
    <cellStyle name="Heading 4" xfId="56"/>
    <cellStyle name="Input" xfId="57"/>
    <cellStyle name="Linked Cell" xfId="58"/>
    <cellStyle name="Neutral" xfId="59"/>
    <cellStyle name="Normal_Sheet1" xfId="60"/>
    <cellStyle name="Note" xfId="61"/>
    <cellStyle name="Output" xfId="62"/>
    <cellStyle name="Percent_FinPlan" xfId="63"/>
    <cellStyle name="Title" xfId="64"/>
    <cellStyle name="Total" xfId="65"/>
    <cellStyle name="Warning Text" xfId="66"/>
    <cellStyle name="Акцент1 2" xfId="67"/>
    <cellStyle name="Акцент2 2" xfId="68"/>
    <cellStyle name="Акцент3 2" xfId="69"/>
    <cellStyle name="Акцент4 2" xfId="70"/>
    <cellStyle name="Акцент5 2" xfId="71"/>
    <cellStyle name="Акцент6 2" xfId="72"/>
    <cellStyle name="Баланс ИПК &quot;ШАРК&quot; (в рублях)" xfId="73"/>
    <cellStyle name="Ввод  2" xfId="74"/>
    <cellStyle name="Вывод 2" xfId="75"/>
    <cellStyle name="Вычисление 2" xfId="76"/>
    <cellStyle name="Денежный" xfId="1" builtinId="4"/>
    <cellStyle name="Денежный 2" xfId="77"/>
    <cellStyle name="Заголовок 1 2" xfId="78"/>
    <cellStyle name="Заголовок 2 2" xfId="79"/>
    <cellStyle name="Заголовок 3 2" xfId="80"/>
    <cellStyle name="Заголовок 4 2" xfId="81"/>
    <cellStyle name="Итог 2" xfId="82"/>
    <cellStyle name="Контрольная ячейка 2" xfId="83"/>
    <cellStyle name="Название 2" xfId="84"/>
    <cellStyle name="Нейтральный 2" xfId="85"/>
    <cellStyle name="Обычный" xfId="0" builtinId="0"/>
    <cellStyle name="Обычный 10" xfId="86"/>
    <cellStyle name="Обычный 11" xfId="87"/>
    <cellStyle name="Обычный 12" xfId="88"/>
    <cellStyle name="Обычный 13" xfId="89"/>
    <cellStyle name="Обычный 14" xfId="90"/>
    <cellStyle name="Обычный 15" xfId="91"/>
    <cellStyle name="Обычный 16" xfId="92"/>
    <cellStyle name="Обычный 16 2" xfId="93"/>
    <cellStyle name="Обычный 16_Иловалар" xfId="94"/>
    <cellStyle name="Обычный 17" xfId="95"/>
    <cellStyle name="Обычный 18" xfId="96"/>
    <cellStyle name="Обычный 19" xfId="97"/>
    <cellStyle name="Обычный 2" xfId="98"/>
    <cellStyle name="Обычный 2 2" xfId="99"/>
    <cellStyle name="Обычный 2 2 2" xfId="100"/>
    <cellStyle name="Обычный 2 2 3" xfId="101"/>
    <cellStyle name="Обычный 2 2_паспорт локализации холодильников 2012г версия для Р.М " xfId="102"/>
    <cellStyle name="Обычный 2 3" xfId="103"/>
    <cellStyle name="Обычный 2 3 2" xfId="104"/>
    <cellStyle name="Обычный 2 3_Иловалар" xfId="105"/>
    <cellStyle name="Обычный 2 4" xfId="106"/>
    <cellStyle name="Обычный 2_Прогноз Баланс и фин результат за 2014г для БП" xfId="107"/>
    <cellStyle name="Обычный 26" xfId="108"/>
    <cellStyle name="Обычный 27" xfId="109"/>
    <cellStyle name="Обычный 28" xfId="110"/>
    <cellStyle name="Обычный 3" xfId="111"/>
    <cellStyle name="Обычный 3 2" xfId="112"/>
    <cellStyle name="Обычный 3 2 2" xfId="113"/>
    <cellStyle name="Обычный 3 2 2 2" xfId="114"/>
    <cellStyle name="Обычный 3 2 2_паспорт локализации холодильников 2012г версия для Р.М " xfId="115"/>
    <cellStyle name="Обычный 3 2 3" xfId="116"/>
    <cellStyle name="Обычный 3 2_паспорт локализации холодильников 2012г версия для Р.М " xfId="117"/>
    <cellStyle name="Обычный 3 3" xfId="118"/>
    <cellStyle name="Обычный 3_Сино-308 15.12.10" xfId="119"/>
    <cellStyle name="Обычный 4" xfId="120"/>
    <cellStyle name="Обычный 4 2" xfId="121"/>
    <cellStyle name="Обычный 4 2 2" xfId="122"/>
    <cellStyle name="Обычный 4 2 3" xfId="123"/>
    <cellStyle name="Обычный 4 2_паспорт локализации холодильников 2012г версия для Р.М " xfId="124"/>
    <cellStyle name="Обычный 4 3" xfId="125"/>
    <cellStyle name="Обычный 5" xfId="126"/>
    <cellStyle name="Обычный 5 2" xfId="127"/>
    <cellStyle name="Обычный 5 3" xfId="128"/>
    <cellStyle name="Обычный 5_паспорт локализации холодильников 2012г версия для Р.М " xfId="129"/>
    <cellStyle name="Обычный 6" xfId="130"/>
    <cellStyle name="Обычный 7" xfId="131"/>
    <cellStyle name="Обычный 8" xfId="132"/>
    <cellStyle name="Обычный 9" xfId="133"/>
    <cellStyle name="Плохой 2" xfId="134"/>
    <cellStyle name="Пояснение 2" xfId="135"/>
    <cellStyle name="Примечание 2" xfId="136"/>
    <cellStyle name="Процентный 2" xfId="137"/>
    <cellStyle name="Процентный 3" xfId="138"/>
    <cellStyle name="Процентный 3 2" xfId="139"/>
    <cellStyle name="Процентный 4" xfId="140"/>
    <cellStyle name="Процентный 5" xfId="141"/>
    <cellStyle name="Связанная ячейка 2" xfId="142"/>
    <cellStyle name="Текст предупреждения 2" xfId="143"/>
    <cellStyle name="Финансовый 2" xfId="144"/>
    <cellStyle name="Финансовый 2 2" xfId="145"/>
    <cellStyle name="Финансовый 2 2 2" xfId="146"/>
    <cellStyle name="Финансовый 2 2 2 2" xfId="147"/>
    <cellStyle name="Финансовый 2 3" xfId="148"/>
    <cellStyle name="Финансовый 3" xfId="149"/>
    <cellStyle name="Финансовый 3 2" xfId="150"/>
    <cellStyle name="Финансовый 4" xfId="151"/>
    <cellStyle name="Финансовый 4 2" xfId="152"/>
    <cellStyle name="Финансовый 4 3" xfId="153"/>
    <cellStyle name="Финансовый 5" xfId="154"/>
    <cellStyle name="Финансовый 6" xfId="155"/>
    <cellStyle name="Финансовый 7" xfId="156"/>
    <cellStyle name="Финансовый 8" xfId="157"/>
    <cellStyle name="Хороший 2" xfId="158"/>
    <cellStyle name="표준_BACK-UP" xfId="159"/>
    <cellStyle name="常规_PK_CNcntr(Bolt-11)" xfId="160"/>
  </cellStyles>
  <dxfs count="0"/>
  <tableStyles count="0" defaultTableStyle="TableStyleMedium9" defaultPivotStyle="PivotStyleLight16"/>
  <colors>
    <mruColors>
      <color rgb="FFD719A5"/>
      <color rgb="FFC22E3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D719A5"/>
  </sheetPr>
  <dimension ref="A1:T86"/>
  <sheetViews>
    <sheetView topLeftCell="A7" workbookViewId="0">
      <selection activeCell="G18" sqref="G18"/>
    </sheetView>
  </sheetViews>
  <sheetFormatPr defaultRowHeight="12.75"/>
  <cols>
    <col min="1" max="1" width="4.42578125" customWidth="1"/>
    <col min="2" max="2" width="32.140625" customWidth="1"/>
    <col min="3" max="3" width="6.7109375" customWidth="1"/>
    <col min="13" max="13" width="11.5703125" customWidth="1"/>
    <col min="16" max="16" width="10.140625" customWidth="1"/>
    <col min="17" max="17" width="11.42578125" customWidth="1"/>
    <col min="18" max="18" width="12" customWidth="1"/>
    <col min="19" max="19" width="11" customWidth="1"/>
  </cols>
  <sheetData>
    <row r="1" spans="1:20" ht="15">
      <c r="A1" s="228" t="s">
        <v>134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</row>
    <row r="2" spans="1:20" ht="15">
      <c r="A2" s="153" t="s">
        <v>148</v>
      </c>
      <c r="B2" s="153"/>
      <c r="C2" s="153"/>
      <c r="D2" s="153"/>
      <c r="E2" s="153"/>
      <c r="F2" s="153"/>
      <c r="G2" s="153"/>
    </row>
    <row r="3" spans="1:20" ht="15.75" thickBot="1">
      <c r="A3" s="178"/>
      <c r="B3" s="178"/>
      <c r="C3" s="178"/>
      <c r="D3" s="178"/>
      <c r="E3" s="178"/>
      <c r="F3" s="178"/>
      <c r="G3" s="178"/>
    </row>
    <row r="4" spans="1:20">
      <c r="A4" s="229" t="s">
        <v>4</v>
      </c>
      <c r="B4" s="232" t="s">
        <v>5</v>
      </c>
      <c r="C4" s="234" t="s">
        <v>6</v>
      </c>
      <c r="D4" s="236" t="s">
        <v>143</v>
      </c>
      <c r="E4" s="236"/>
      <c r="F4" s="236"/>
      <c r="G4" s="236"/>
      <c r="H4" s="237" t="s">
        <v>144</v>
      </c>
      <c r="I4" s="236"/>
      <c r="J4" s="236"/>
      <c r="K4" s="238"/>
      <c r="L4" s="239" t="s">
        <v>7</v>
      </c>
      <c r="M4" s="240"/>
      <c r="N4" s="240"/>
      <c r="O4" s="241"/>
      <c r="P4" s="242" t="s">
        <v>154</v>
      </c>
      <c r="Q4" s="220" t="s">
        <v>155</v>
      </c>
      <c r="R4" s="220" t="s">
        <v>156</v>
      </c>
      <c r="S4" s="220" t="s">
        <v>157</v>
      </c>
    </row>
    <row r="5" spans="1:20">
      <c r="A5" s="230"/>
      <c r="B5" s="233"/>
      <c r="C5" s="235"/>
      <c r="D5" s="223" t="s">
        <v>135</v>
      </c>
      <c r="E5" s="223"/>
      <c r="F5" s="223"/>
      <c r="G5" s="224"/>
      <c r="H5" s="225" t="s">
        <v>135</v>
      </c>
      <c r="I5" s="226"/>
      <c r="J5" s="226"/>
      <c r="K5" s="227"/>
      <c r="L5" s="225" t="s">
        <v>135</v>
      </c>
      <c r="M5" s="226"/>
      <c r="N5" s="226"/>
      <c r="O5" s="227"/>
      <c r="P5" s="243"/>
      <c r="Q5" s="221"/>
      <c r="R5" s="221"/>
      <c r="S5" s="221"/>
    </row>
    <row r="6" spans="1:20" ht="38.25">
      <c r="A6" s="231"/>
      <c r="B6" s="233"/>
      <c r="C6" s="235"/>
      <c r="D6" s="175" t="s">
        <v>149</v>
      </c>
      <c r="E6" s="175" t="s">
        <v>150</v>
      </c>
      <c r="F6" s="175" t="s">
        <v>151</v>
      </c>
      <c r="G6" s="39" t="s">
        <v>152</v>
      </c>
      <c r="H6" s="179" t="s">
        <v>136</v>
      </c>
      <c r="I6" s="175" t="s">
        <v>150</v>
      </c>
      <c r="J6" s="175" t="s">
        <v>151</v>
      </c>
      <c r="K6" s="40" t="s">
        <v>152</v>
      </c>
      <c r="L6" s="109" t="s">
        <v>153</v>
      </c>
      <c r="M6" s="175" t="s">
        <v>150</v>
      </c>
      <c r="N6" s="175" t="s">
        <v>151</v>
      </c>
      <c r="O6" s="40" t="s">
        <v>152</v>
      </c>
      <c r="P6" s="244"/>
      <c r="Q6" s="222"/>
      <c r="R6" s="222"/>
      <c r="S6" s="222"/>
    </row>
    <row r="7" spans="1:20">
      <c r="A7" s="173"/>
      <c r="B7" s="174"/>
      <c r="C7" s="41" t="s">
        <v>8</v>
      </c>
      <c r="D7" s="42" t="s">
        <v>9</v>
      </c>
      <c r="E7" s="42" t="s">
        <v>9</v>
      </c>
      <c r="F7" s="42" t="s">
        <v>9</v>
      </c>
      <c r="G7" s="43" t="s">
        <v>9</v>
      </c>
      <c r="H7" s="44" t="s">
        <v>10</v>
      </c>
      <c r="I7" s="42" t="s">
        <v>10</v>
      </c>
      <c r="J7" s="42" t="s">
        <v>10</v>
      </c>
      <c r="K7" s="45" t="s">
        <v>10</v>
      </c>
      <c r="L7" s="44" t="s">
        <v>11</v>
      </c>
      <c r="M7" s="42" t="s">
        <v>11</v>
      </c>
      <c r="N7" s="42" t="s">
        <v>11</v>
      </c>
      <c r="O7" s="45" t="s">
        <v>11</v>
      </c>
      <c r="P7" s="46"/>
      <c r="Q7" s="47"/>
      <c r="R7" s="47"/>
      <c r="S7" s="47"/>
    </row>
    <row r="8" spans="1:20" ht="29.25" customHeight="1">
      <c r="A8" s="48" t="s">
        <v>12</v>
      </c>
      <c r="B8" s="49" t="s">
        <v>13</v>
      </c>
      <c r="C8" s="50">
        <v>20</v>
      </c>
      <c r="D8" s="51">
        <f>D20</f>
        <v>2378912.6</v>
      </c>
      <c r="E8" s="51">
        <f>E20</f>
        <v>4635025.2</v>
      </c>
      <c r="F8" s="51">
        <f>F20</f>
        <v>7330464.7999999998</v>
      </c>
      <c r="G8" s="127">
        <f>G20</f>
        <v>10639997.4</v>
      </c>
      <c r="H8" s="52">
        <f t="shared" ref="H8:K8" si="0">H20</f>
        <v>2505474.0580000002</v>
      </c>
      <c r="I8" s="51">
        <f t="shared" si="0"/>
        <v>4954961.5999999996</v>
      </c>
      <c r="J8" s="53">
        <f t="shared" si="0"/>
        <v>8435669.1458400004</v>
      </c>
      <c r="K8" s="54">
        <f t="shared" si="0"/>
        <v>13176010.91426</v>
      </c>
      <c r="L8" s="55">
        <f>H8/D8*100</f>
        <v>105.32013904167812</v>
      </c>
      <c r="M8" s="56">
        <f>I8/E8*100</f>
        <v>106.9025816731266</v>
      </c>
      <c r="N8" s="56">
        <f>J8/F8*100</f>
        <v>115.0768658740439</v>
      </c>
      <c r="O8" s="57">
        <f>K8/G8*100</f>
        <v>123.83471930416073</v>
      </c>
      <c r="P8" s="58">
        <f>L8*C8/100</f>
        <v>21.064027808335624</v>
      </c>
      <c r="Q8" s="57">
        <f>M8*C8/100</f>
        <v>21.380516334625323</v>
      </c>
      <c r="R8" s="57">
        <f>N8*C8/100</f>
        <v>23.015373174808783</v>
      </c>
      <c r="S8" s="57">
        <f>O8*C8/100</f>
        <v>24.766943860832143</v>
      </c>
      <c r="T8" t="s">
        <v>14</v>
      </c>
    </row>
    <row r="9" spans="1:20">
      <c r="A9" s="59"/>
      <c r="B9" s="60"/>
      <c r="C9" s="61"/>
      <c r="D9" s="180"/>
      <c r="E9" s="180"/>
      <c r="F9" s="180"/>
      <c r="G9" s="181"/>
      <c r="H9" s="163"/>
      <c r="I9" s="62"/>
      <c r="J9" s="60"/>
      <c r="K9" s="63"/>
      <c r="L9" s="64"/>
      <c r="M9" s="60"/>
      <c r="N9" s="60"/>
      <c r="O9" s="63"/>
      <c r="P9" s="65"/>
      <c r="Q9" s="63"/>
      <c r="R9" s="63"/>
      <c r="S9" s="63"/>
    </row>
    <row r="10" spans="1:20">
      <c r="A10" s="59"/>
      <c r="B10" s="60" t="s">
        <v>15</v>
      </c>
      <c r="C10" s="61"/>
      <c r="D10" s="182">
        <v>1408607</v>
      </c>
      <c r="E10" s="182">
        <f>D10+1278499</f>
        <v>2687106</v>
      </c>
      <c r="F10" s="182">
        <f>E10+1693720</f>
        <v>4380826</v>
      </c>
      <c r="G10" s="183">
        <f>F10+2169339</f>
        <v>6550165</v>
      </c>
      <c r="H10" s="163">
        <v>1542956</v>
      </c>
      <c r="I10" s="188">
        <v>3041931</v>
      </c>
      <c r="J10" s="180">
        <v>5374366</v>
      </c>
      <c r="K10" s="181">
        <v>8772999</v>
      </c>
      <c r="L10" s="64"/>
      <c r="M10" s="60"/>
      <c r="N10" s="60"/>
      <c r="O10" s="63"/>
      <c r="P10" s="65"/>
      <c r="Q10" s="63"/>
      <c r="R10" s="63"/>
      <c r="S10" s="63"/>
    </row>
    <row r="11" spans="1:20">
      <c r="A11" s="59"/>
      <c r="B11" s="60" t="s">
        <v>16</v>
      </c>
      <c r="C11" s="61"/>
      <c r="D11" s="182">
        <v>258610</v>
      </c>
      <c r="E11" s="182">
        <f>D11+265918</f>
        <v>524528</v>
      </c>
      <c r="F11" s="182">
        <f>E11+340024</f>
        <v>864552</v>
      </c>
      <c r="G11" s="183">
        <f>F11+478498</f>
        <v>1343050</v>
      </c>
      <c r="H11" s="163">
        <v>272581</v>
      </c>
      <c r="I11" s="188">
        <v>535105</v>
      </c>
      <c r="J11" s="180">
        <v>978093</v>
      </c>
      <c r="K11" s="181">
        <v>1612675</v>
      </c>
      <c r="L11" s="64"/>
      <c r="M11" s="60"/>
      <c r="N11" s="60"/>
      <c r="O11" s="63"/>
      <c r="P11" s="65"/>
      <c r="Q11" s="63"/>
      <c r="R11" s="63"/>
      <c r="S11" s="63"/>
    </row>
    <row r="12" spans="1:20">
      <c r="A12" s="59"/>
      <c r="B12" s="60" t="s">
        <v>17</v>
      </c>
      <c r="C12" s="61"/>
      <c r="D12" s="184"/>
      <c r="E12" s="182"/>
      <c r="F12" s="182"/>
      <c r="G12" s="183"/>
      <c r="H12" s="163"/>
      <c r="I12" s="188"/>
      <c r="J12" s="180"/>
      <c r="K12" s="181"/>
      <c r="L12" s="64"/>
      <c r="M12" s="60"/>
      <c r="N12" s="60"/>
      <c r="O12" s="63"/>
      <c r="P12" s="65"/>
      <c r="Q12" s="63"/>
      <c r="R12" s="63"/>
      <c r="S12" s="63"/>
    </row>
    <row r="13" spans="1:20">
      <c r="A13" s="59"/>
      <c r="B13" s="60" t="s">
        <v>18</v>
      </c>
      <c r="C13" s="61"/>
      <c r="D13" s="184"/>
      <c r="E13" s="182"/>
      <c r="F13" s="182"/>
      <c r="G13" s="183"/>
      <c r="H13" s="163"/>
      <c r="I13" s="188"/>
      <c r="J13" s="180"/>
      <c r="K13" s="181"/>
      <c r="L13" s="64"/>
      <c r="M13" s="60"/>
      <c r="N13" s="60"/>
      <c r="O13" s="63"/>
      <c r="P13" s="65"/>
      <c r="Q13" s="63"/>
      <c r="R13" s="63"/>
      <c r="S13" s="63"/>
    </row>
    <row r="14" spans="1:20">
      <c r="A14" s="59"/>
      <c r="B14" s="60" t="s">
        <v>19</v>
      </c>
      <c r="C14" s="61"/>
      <c r="D14" s="184"/>
      <c r="E14" s="182"/>
      <c r="F14" s="182"/>
      <c r="G14" s="183"/>
      <c r="H14" s="163"/>
      <c r="I14" s="188"/>
      <c r="J14" s="180"/>
      <c r="K14" s="181"/>
      <c r="L14" s="64"/>
      <c r="M14" s="60"/>
      <c r="N14" s="60"/>
      <c r="O14" s="63"/>
      <c r="P14" s="65"/>
      <c r="Q14" s="63"/>
      <c r="R14" s="63"/>
      <c r="S14" s="63"/>
    </row>
    <row r="15" spans="1:20">
      <c r="A15" s="59"/>
      <c r="B15" s="60" t="s">
        <v>20</v>
      </c>
      <c r="C15" s="61"/>
      <c r="D15" s="182">
        <v>50000</v>
      </c>
      <c r="E15" s="182">
        <v>100000</v>
      </c>
      <c r="F15" s="182">
        <v>100000</v>
      </c>
      <c r="G15" s="182">
        <v>100000</v>
      </c>
      <c r="H15" s="163">
        <v>27782</v>
      </c>
      <c r="I15" s="188">
        <v>38282</v>
      </c>
      <c r="J15" s="180">
        <v>41063</v>
      </c>
      <c r="K15" s="181">
        <v>41063</v>
      </c>
      <c r="L15" s="64"/>
      <c r="M15" s="60"/>
      <c r="N15" s="60"/>
      <c r="O15" s="63"/>
      <c r="P15" s="65"/>
      <c r="Q15" s="63"/>
      <c r="R15" s="63"/>
      <c r="S15" s="63"/>
    </row>
    <row r="16" spans="1:20">
      <c r="A16" s="59"/>
      <c r="B16" s="60" t="s">
        <v>21</v>
      </c>
      <c r="C16" s="61"/>
      <c r="D16" s="184"/>
      <c r="E16" s="182"/>
      <c r="F16" s="182"/>
      <c r="G16" s="183">
        <v>0</v>
      </c>
      <c r="H16" s="163"/>
      <c r="I16" s="188"/>
      <c r="J16" s="180"/>
      <c r="K16" s="181"/>
      <c r="L16" s="64"/>
      <c r="M16" s="60"/>
      <c r="N16" s="60"/>
      <c r="O16" s="63"/>
      <c r="P16" s="65"/>
      <c r="Q16" s="63"/>
      <c r="R16" s="63"/>
      <c r="S16" s="63"/>
    </row>
    <row r="17" spans="1:20">
      <c r="A17" s="59"/>
      <c r="B17" s="61" t="s">
        <v>22</v>
      </c>
      <c r="C17" s="61"/>
      <c r="D17" s="185">
        <f>SUM(D10:D16)</f>
        <v>1717217</v>
      </c>
      <c r="E17" s="185">
        <f>SUM(E10:E16)</f>
        <v>3311634</v>
      </c>
      <c r="F17" s="185">
        <f>SUM(F10:F16)</f>
        <v>5345378</v>
      </c>
      <c r="G17" s="186">
        <f>SUM(G10:G16)</f>
        <v>7993215</v>
      </c>
      <c r="H17" s="167">
        <f t="shared" ref="H17:K17" si="1">SUM(H10:H16)</f>
        <v>1843319</v>
      </c>
      <c r="I17" s="185">
        <f t="shared" si="1"/>
        <v>3615318</v>
      </c>
      <c r="J17" s="190">
        <f t="shared" si="1"/>
        <v>6393522</v>
      </c>
      <c r="K17" s="191">
        <f t="shared" si="1"/>
        <v>10426737</v>
      </c>
      <c r="L17" s="64"/>
      <c r="M17" s="60"/>
      <c r="N17" s="60"/>
      <c r="O17" s="63"/>
      <c r="P17" s="65"/>
      <c r="Q17" s="63"/>
      <c r="R17" s="63"/>
      <c r="S17" s="63"/>
    </row>
    <row r="18" spans="1:20" ht="38.25" customHeight="1">
      <c r="A18" s="59"/>
      <c r="B18" s="66" t="s">
        <v>23</v>
      </c>
      <c r="C18" s="61"/>
      <c r="D18" s="182">
        <v>661695.6</v>
      </c>
      <c r="E18" s="182">
        <f>D18+D18</f>
        <v>1323391.2</v>
      </c>
      <c r="F18" s="182">
        <f>E18+661695.6</f>
        <v>1985086.7999999998</v>
      </c>
      <c r="G18" s="183">
        <f>F18+661695.6</f>
        <v>2646782.4</v>
      </c>
      <c r="H18" s="163">
        <v>662155.05799999996</v>
      </c>
      <c r="I18" s="188">
        <v>1339643.6000000001</v>
      </c>
      <c r="J18" s="180">
        <v>2042147.1458399999</v>
      </c>
      <c r="K18" s="181">
        <v>2749273.91426</v>
      </c>
      <c r="L18" s="64"/>
      <c r="M18" s="60"/>
      <c r="N18" s="60"/>
      <c r="O18" s="63"/>
      <c r="P18" s="65"/>
      <c r="Q18" s="63"/>
      <c r="R18" s="63"/>
      <c r="S18" s="63"/>
    </row>
    <row r="19" spans="1:20">
      <c r="A19" s="59"/>
      <c r="B19" s="60" t="s">
        <v>24</v>
      </c>
      <c r="C19" s="61"/>
      <c r="D19" s="184"/>
      <c r="E19" s="182"/>
      <c r="F19" s="182"/>
      <c r="G19" s="183"/>
      <c r="H19" s="163"/>
      <c r="I19" s="188"/>
      <c r="J19" s="180"/>
      <c r="K19" s="181"/>
      <c r="L19" s="64"/>
      <c r="M19" s="60"/>
      <c r="N19" s="60"/>
      <c r="O19" s="63"/>
      <c r="P19" s="65"/>
      <c r="Q19" s="63"/>
      <c r="R19" s="63"/>
      <c r="S19" s="63"/>
    </row>
    <row r="20" spans="1:20" ht="17.25" customHeight="1">
      <c r="A20" s="59"/>
      <c r="B20" s="61" t="s">
        <v>25</v>
      </c>
      <c r="C20" s="61"/>
      <c r="D20" s="185">
        <f>SUM(D17:D19)</f>
        <v>2378912.6</v>
      </c>
      <c r="E20" s="185">
        <f>SUM(E17:E19)</f>
        <v>4635025.2</v>
      </c>
      <c r="F20" s="185">
        <f>SUM(F17:F19)</f>
        <v>7330464.7999999998</v>
      </c>
      <c r="G20" s="186">
        <f>SUM(G17:G19)</f>
        <v>10639997.4</v>
      </c>
      <c r="H20" s="167">
        <f t="shared" ref="H20:K20" si="2">SUM(H17:H19)</f>
        <v>2505474.0580000002</v>
      </c>
      <c r="I20" s="185">
        <f>SUM(I17:I19)</f>
        <v>4954961.5999999996</v>
      </c>
      <c r="J20" s="190">
        <f t="shared" si="2"/>
        <v>8435669.1458400004</v>
      </c>
      <c r="K20" s="191">
        <f t="shared" si="2"/>
        <v>13176010.91426</v>
      </c>
      <c r="L20" s="67"/>
      <c r="M20" s="68"/>
      <c r="N20" s="60"/>
      <c r="O20" s="63"/>
      <c r="P20" s="65"/>
      <c r="Q20" s="63"/>
      <c r="R20" s="63"/>
      <c r="S20" s="63"/>
    </row>
    <row r="21" spans="1:20" ht="30.75" customHeight="1">
      <c r="A21" s="48" t="s">
        <v>26</v>
      </c>
      <c r="B21" s="49" t="s">
        <v>27</v>
      </c>
      <c r="C21" s="50">
        <v>20</v>
      </c>
      <c r="D21" s="50">
        <f t="shared" ref="D21:H21" si="3">D23/D29</f>
        <v>0.91831340832990915</v>
      </c>
      <c r="E21" s="50">
        <f t="shared" si="3"/>
        <v>0.92158587794917501</v>
      </c>
      <c r="F21" s="50">
        <f t="shared" si="3"/>
        <v>0.91394973713729699</v>
      </c>
      <c r="G21" s="80">
        <f t="shared" si="3"/>
        <v>0.90861752767191095</v>
      </c>
      <c r="H21" s="69">
        <f t="shared" si="3"/>
        <v>0.92016608043268677</v>
      </c>
      <c r="I21" s="69">
        <f>I23/I29</f>
        <v>0.91860416791385491</v>
      </c>
      <c r="J21" s="69">
        <f>J23/J29</f>
        <v>0.90620461069017955</v>
      </c>
      <c r="K21" s="69">
        <f>K23/K29</f>
        <v>0.89958321344043324</v>
      </c>
      <c r="L21" s="55">
        <f>D21/H21*100</f>
        <v>99.798658944056442</v>
      </c>
      <c r="M21" s="50">
        <f>E21/I21*100</f>
        <v>100.32459138979215</v>
      </c>
      <c r="N21" s="56">
        <f>F21/J21*100</f>
        <v>100.85467744875174</v>
      </c>
      <c r="O21" s="57">
        <f>G21/K21*100</f>
        <v>101.00427776958244</v>
      </c>
      <c r="P21" s="58">
        <f>C21*L21/100</f>
        <v>19.95973178881129</v>
      </c>
      <c r="Q21" s="57">
        <f>M21*C21/100</f>
        <v>20.06491827795843</v>
      </c>
      <c r="R21" s="57">
        <f>N21*C21/100</f>
        <v>20.170935489750349</v>
      </c>
      <c r="S21" s="57">
        <f>O21*C21/100</f>
        <v>20.20085555391649</v>
      </c>
      <c r="T21" t="s">
        <v>28</v>
      </c>
    </row>
    <row r="22" spans="1:20">
      <c r="A22" s="59"/>
      <c r="B22" s="60" t="s">
        <v>29</v>
      </c>
      <c r="C22" s="61"/>
      <c r="D22" s="180"/>
      <c r="E22" s="180"/>
      <c r="F22" s="180"/>
      <c r="G22" s="181"/>
      <c r="H22" s="16"/>
      <c r="I22" s="60"/>
      <c r="J22" s="60"/>
      <c r="K22" s="63"/>
      <c r="L22" s="70"/>
      <c r="M22" s="60"/>
      <c r="N22" s="60"/>
      <c r="O22" s="63"/>
      <c r="P22" s="65"/>
      <c r="Q22" s="63"/>
      <c r="R22" s="63"/>
      <c r="S22" s="63"/>
    </row>
    <row r="23" spans="1:20">
      <c r="A23" s="70"/>
      <c r="B23" s="60" t="s">
        <v>166</v>
      </c>
      <c r="C23" s="61"/>
      <c r="D23" s="185">
        <f>D24+D25</f>
        <v>17056430</v>
      </c>
      <c r="E23" s="185">
        <f>E24+E25</f>
        <v>33984822</v>
      </c>
      <c r="F23" s="185">
        <f>F24+F25</f>
        <v>49657738</v>
      </c>
      <c r="G23" s="186">
        <f>G24+G25</f>
        <v>70329101</v>
      </c>
      <c r="H23" s="167">
        <f>H24+H25</f>
        <v>18562618</v>
      </c>
      <c r="I23" s="190">
        <f t="shared" ref="I23:K23" si="4">I24+I25</f>
        <v>35829609</v>
      </c>
      <c r="J23" s="190">
        <f t="shared" si="4"/>
        <v>55188680</v>
      </c>
      <c r="K23" s="191">
        <f t="shared" si="4"/>
        <v>85930666</v>
      </c>
      <c r="L23" s="70"/>
      <c r="M23" s="60"/>
      <c r="N23" s="60"/>
      <c r="O23" s="63"/>
      <c r="P23" s="65"/>
      <c r="Q23" s="63"/>
      <c r="R23" s="63"/>
      <c r="S23" s="63"/>
    </row>
    <row r="24" spans="1:20">
      <c r="A24" s="70"/>
      <c r="B24" s="60" t="s">
        <v>30</v>
      </c>
      <c r="C24" s="61"/>
      <c r="D24" s="180">
        <v>14605715</v>
      </c>
      <c r="E24" s="180">
        <f>D24+14554551</f>
        <v>29160266</v>
      </c>
      <c r="F24" s="184">
        <f>E24+13100073</f>
        <v>42260339</v>
      </c>
      <c r="G24" s="187">
        <f>F24+17855880</f>
        <v>60116219</v>
      </c>
      <c r="H24" s="162">
        <v>16005641</v>
      </c>
      <c r="I24" s="180">
        <v>30962879</v>
      </c>
      <c r="J24" s="180">
        <v>47442892</v>
      </c>
      <c r="K24" s="181">
        <v>72692790</v>
      </c>
      <c r="L24" s="70"/>
      <c r="M24" s="60"/>
      <c r="N24" s="60"/>
      <c r="O24" s="63"/>
      <c r="P24" s="65"/>
      <c r="Q24" s="63"/>
      <c r="R24" s="63"/>
      <c r="S24" s="63"/>
    </row>
    <row r="25" spans="1:20">
      <c r="A25" s="70"/>
      <c r="B25" s="72" t="s">
        <v>31</v>
      </c>
      <c r="C25" s="61"/>
      <c r="D25" s="188">
        <f t="shared" ref="D25:H25" si="5">D26+D27+D28</f>
        <v>2450715</v>
      </c>
      <c r="E25" s="180">
        <f t="shared" si="5"/>
        <v>4824556</v>
      </c>
      <c r="F25" s="188">
        <f t="shared" si="5"/>
        <v>7397399</v>
      </c>
      <c r="G25" s="189">
        <f t="shared" si="5"/>
        <v>10212882</v>
      </c>
      <c r="H25" s="163">
        <f t="shared" si="5"/>
        <v>2556977</v>
      </c>
      <c r="I25" s="180">
        <f>I26+I27+I28</f>
        <v>4866730</v>
      </c>
      <c r="J25" s="180">
        <f>J26+J27+J28</f>
        <v>7745788</v>
      </c>
      <c r="K25" s="180">
        <f>K26+K27+K28</f>
        <v>13237876</v>
      </c>
      <c r="L25" s="70"/>
      <c r="M25" s="60"/>
      <c r="N25" s="60"/>
      <c r="O25" s="63"/>
      <c r="P25" s="65"/>
      <c r="Q25" s="63"/>
      <c r="R25" s="63"/>
      <c r="S25" s="63"/>
    </row>
    <row r="26" spans="1:20">
      <c r="A26" s="70"/>
      <c r="B26" s="60" t="s">
        <v>145</v>
      </c>
      <c r="C26" s="61"/>
      <c r="D26" s="188">
        <v>39228</v>
      </c>
      <c r="E26" s="188">
        <f>D26+39228</f>
        <v>78456</v>
      </c>
      <c r="F26" s="188">
        <f>E26+39228</f>
        <v>117684</v>
      </c>
      <c r="G26" s="189">
        <f>F26+39227</f>
        <v>156911</v>
      </c>
      <c r="H26" s="163">
        <v>42821</v>
      </c>
      <c r="I26" s="180">
        <v>79298</v>
      </c>
      <c r="J26" s="180">
        <v>123073</v>
      </c>
      <c r="K26" s="181">
        <v>197352</v>
      </c>
      <c r="L26" s="70"/>
      <c r="M26" s="60"/>
      <c r="N26" s="60"/>
      <c r="O26" s="63"/>
      <c r="P26" s="65"/>
      <c r="Q26" s="63"/>
      <c r="R26" s="63"/>
      <c r="S26" s="63"/>
    </row>
    <row r="27" spans="1:20">
      <c r="A27" s="70"/>
      <c r="B27" s="60" t="s">
        <v>146</v>
      </c>
      <c r="C27" s="61"/>
      <c r="D27" s="188">
        <v>750367</v>
      </c>
      <c r="E27" s="188">
        <f>D27+749013</f>
        <v>1499380</v>
      </c>
      <c r="F27" s="188">
        <f>E27+664782</f>
        <v>2164162</v>
      </c>
      <c r="G27" s="189">
        <f>F27+772845</f>
        <v>2937007</v>
      </c>
      <c r="H27" s="163">
        <v>644272</v>
      </c>
      <c r="I27" s="180">
        <v>1262219</v>
      </c>
      <c r="J27" s="180">
        <v>1925025</v>
      </c>
      <c r="K27" s="181">
        <v>2684587</v>
      </c>
      <c r="L27" s="70"/>
      <c r="M27" s="60"/>
      <c r="N27" s="60"/>
      <c r="O27" s="63"/>
      <c r="P27" s="65"/>
      <c r="Q27" s="63"/>
      <c r="R27" s="63"/>
      <c r="S27" s="63"/>
    </row>
    <row r="28" spans="1:20">
      <c r="A28" s="70"/>
      <c r="B28" s="60" t="s">
        <v>147</v>
      </c>
      <c r="C28" s="61"/>
      <c r="D28" s="180">
        <v>1661120</v>
      </c>
      <c r="E28" s="180">
        <f>D28+1585600</f>
        <v>3246720</v>
      </c>
      <c r="F28" s="184">
        <f>E28+1868833</f>
        <v>5115553</v>
      </c>
      <c r="G28" s="187">
        <f>F28+2003411</f>
        <v>7118964</v>
      </c>
      <c r="H28" s="162">
        <v>1869884</v>
      </c>
      <c r="I28" s="180">
        <v>3525213</v>
      </c>
      <c r="J28" s="180">
        <v>5697690</v>
      </c>
      <c r="K28" s="181">
        <v>10355937</v>
      </c>
      <c r="L28" s="70"/>
      <c r="M28" s="60"/>
      <c r="N28" s="60"/>
      <c r="O28" s="63"/>
      <c r="P28" s="65"/>
      <c r="Q28" s="63"/>
      <c r="R28" s="63"/>
      <c r="S28" s="63"/>
    </row>
    <row r="29" spans="1:20" ht="14.25" customHeight="1">
      <c r="A29" s="70"/>
      <c r="B29" s="60" t="s">
        <v>32</v>
      </c>
      <c r="C29" s="61"/>
      <c r="D29" s="190">
        <v>18573648</v>
      </c>
      <c r="E29" s="190">
        <f>D29+18302809</f>
        <v>36876457</v>
      </c>
      <c r="F29" s="190">
        <f>E29+17456660</f>
        <v>54333117</v>
      </c>
      <c r="G29" s="191">
        <f>F29+23069199</f>
        <v>77402316</v>
      </c>
      <c r="H29" s="165">
        <v>20173117</v>
      </c>
      <c r="I29" s="190">
        <v>39004405</v>
      </c>
      <c r="J29" s="190">
        <v>60900904</v>
      </c>
      <c r="K29" s="191">
        <v>95522754</v>
      </c>
      <c r="L29" s="70"/>
      <c r="M29" s="60"/>
      <c r="N29" s="60"/>
      <c r="O29" s="63"/>
      <c r="P29" s="65"/>
      <c r="Q29" s="63"/>
      <c r="R29" s="63"/>
      <c r="S29" s="63"/>
    </row>
    <row r="30" spans="1:20" ht="30.75" customHeight="1">
      <c r="A30" s="73" t="s">
        <v>33</v>
      </c>
      <c r="B30" s="49" t="s">
        <v>34</v>
      </c>
      <c r="C30" s="53"/>
      <c r="D30" s="74"/>
      <c r="E30" s="74"/>
      <c r="F30" s="74"/>
      <c r="G30" s="77"/>
      <c r="H30" s="76"/>
      <c r="I30" s="74"/>
      <c r="J30" s="74"/>
      <c r="K30" s="77"/>
      <c r="L30" s="76"/>
      <c r="M30" s="74"/>
      <c r="N30" s="74"/>
      <c r="O30" s="77"/>
      <c r="P30" s="78"/>
      <c r="Q30" s="77"/>
      <c r="R30" s="77"/>
      <c r="S30" s="77"/>
    </row>
    <row r="31" spans="1:20" ht="53.25" customHeight="1">
      <c r="A31" s="70"/>
      <c r="B31" s="79" t="s">
        <v>35</v>
      </c>
      <c r="C31" s="50">
        <v>10</v>
      </c>
      <c r="D31" s="50">
        <f t="shared" ref="D31:K31" si="6">D32/D33</f>
        <v>0.17678957451230617</v>
      </c>
      <c r="E31" s="50">
        <f t="shared" si="6"/>
        <v>0.34391580372205377</v>
      </c>
      <c r="F31" s="50">
        <f>F32/F33</f>
        <v>0.5835280057947525</v>
      </c>
      <c r="G31" s="80">
        <f t="shared" si="6"/>
        <v>0.85188875887616466</v>
      </c>
      <c r="H31" s="69">
        <f t="shared" si="6"/>
        <v>0.19087188259473417</v>
      </c>
      <c r="I31" s="50">
        <f t="shared" si="6"/>
        <v>0.31120754694396618</v>
      </c>
      <c r="J31" s="50">
        <f>J32/J33</f>
        <v>0.55862159789197596</v>
      </c>
      <c r="K31" s="80">
        <f t="shared" si="6"/>
        <v>0.87279149552984059</v>
      </c>
      <c r="L31" s="55">
        <f>H31/D31*100</f>
        <v>107.96557609309012</v>
      </c>
      <c r="M31" s="56">
        <f>I31/E31*100</f>
        <v>90.489458052203446</v>
      </c>
      <c r="N31" s="56">
        <f>J31/F31*100</f>
        <v>95.731754490711282</v>
      </c>
      <c r="O31" s="57">
        <f>K31/G31*100</f>
        <v>102.45369321239212</v>
      </c>
      <c r="P31" s="58">
        <f>C31*L31/100</f>
        <v>10.796557609309012</v>
      </c>
      <c r="Q31" s="57">
        <f>M31*C31/100</f>
        <v>9.0489458052203435</v>
      </c>
      <c r="R31" s="57">
        <f>N31*C31/100</f>
        <v>9.5731754490711278</v>
      </c>
      <c r="S31" s="57">
        <f>O31*C31/100</f>
        <v>10.245369321239213</v>
      </c>
      <c r="T31" t="s">
        <v>14</v>
      </c>
    </row>
    <row r="32" spans="1:20" ht="18" customHeight="1">
      <c r="A32" s="70"/>
      <c r="B32" s="60" t="s">
        <v>36</v>
      </c>
      <c r="C32" s="61"/>
      <c r="D32" s="182">
        <v>1408607</v>
      </c>
      <c r="E32" s="182">
        <f>D32+1278499</f>
        <v>2687106</v>
      </c>
      <c r="F32" s="182">
        <f>E32+1693720</f>
        <v>4380826</v>
      </c>
      <c r="G32" s="183">
        <f>F32+2169339</f>
        <v>6550165</v>
      </c>
      <c r="H32" s="162">
        <v>1542956</v>
      </c>
      <c r="I32" s="180">
        <v>3041931</v>
      </c>
      <c r="J32" s="180">
        <v>5374366</v>
      </c>
      <c r="K32" s="181">
        <v>8772999</v>
      </c>
      <c r="L32" s="70"/>
      <c r="M32" s="60"/>
      <c r="N32" s="60"/>
      <c r="O32" s="63"/>
      <c r="P32" s="65"/>
      <c r="Q32" s="63"/>
      <c r="R32" s="63"/>
      <c r="S32" s="63"/>
    </row>
    <row r="33" spans="1:20" ht="93" customHeight="1">
      <c r="A33" s="70"/>
      <c r="B33" s="81" t="s">
        <v>168</v>
      </c>
      <c r="C33" s="61"/>
      <c r="D33" s="6">
        <v>7967704</v>
      </c>
      <c r="E33" s="6">
        <v>7813267</v>
      </c>
      <c r="F33" s="6">
        <v>7507482</v>
      </c>
      <c r="G33" s="160">
        <v>7688991</v>
      </c>
      <c r="H33" s="162">
        <f>((4784872+4326871)+(4784872+2270837))/2</f>
        <v>8083726</v>
      </c>
      <c r="I33" s="188">
        <f>((4784872+4326871)+(9569744+867724))/2</f>
        <v>9774605.5</v>
      </c>
      <c r="J33" s="188">
        <f>((4784872+4326871)+(9569744+560039))/2</f>
        <v>9620763</v>
      </c>
      <c r="K33" s="188">
        <f>((4784872+4326871)+(9569744+1421823))/2</f>
        <v>10051655</v>
      </c>
      <c r="L33" s="70"/>
      <c r="M33" s="60"/>
      <c r="N33" s="60"/>
      <c r="O33" s="63"/>
      <c r="P33" s="65"/>
      <c r="Q33" s="63"/>
      <c r="R33" s="63"/>
      <c r="S33" s="63"/>
    </row>
    <row r="34" spans="1:20" ht="27.75" customHeight="1">
      <c r="A34" s="73" t="s">
        <v>37</v>
      </c>
      <c r="B34" s="49" t="s">
        <v>38</v>
      </c>
      <c r="C34" s="53"/>
      <c r="D34" s="74"/>
      <c r="E34" s="74"/>
      <c r="F34" s="74"/>
      <c r="G34" s="77"/>
      <c r="H34" s="76"/>
      <c r="I34" s="74"/>
      <c r="J34" s="74"/>
      <c r="K34" s="77"/>
      <c r="L34" s="76"/>
      <c r="M34" s="74"/>
      <c r="N34" s="74"/>
      <c r="O34" s="77"/>
      <c r="P34" s="78"/>
      <c r="Q34" s="77"/>
      <c r="R34" s="77"/>
      <c r="S34" s="77"/>
    </row>
    <row r="35" spans="1:20" ht="40.5" customHeight="1">
      <c r="A35" s="70"/>
      <c r="B35" s="79" t="s">
        <v>137</v>
      </c>
      <c r="C35" s="50">
        <v>5</v>
      </c>
      <c r="D35" s="82">
        <f t="shared" ref="D35:J35" si="7">D36/D37</f>
        <v>6.2971456538734719E-2</v>
      </c>
      <c r="E35" s="82">
        <f t="shared" si="7"/>
        <v>0.11677161429236868</v>
      </c>
      <c r="F35" s="82">
        <f t="shared" si="7"/>
        <v>0.17495196916441921</v>
      </c>
      <c r="G35" s="84">
        <f t="shared" si="7"/>
        <v>0.25605379980912552</v>
      </c>
      <c r="H35" s="83">
        <f t="shared" si="7"/>
        <v>6.8801770293723266E-2</v>
      </c>
      <c r="I35" s="83">
        <f t="shared" si="7"/>
        <v>0.14092384672270733</v>
      </c>
      <c r="J35" s="83">
        <f t="shared" si="7"/>
        <v>0.23619985154791123</v>
      </c>
      <c r="K35" s="84">
        <f>K36/K37</f>
        <v>0.35886889159405261</v>
      </c>
      <c r="L35" s="55">
        <f>H35/D35*100</f>
        <v>109.25866110688138</v>
      </c>
      <c r="M35" s="56">
        <f>I35/E35*100</f>
        <v>120.68330781988432</v>
      </c>
      <c r="N35" s="56">
        <f>J35/F35*100</f>
        <v>135.00839840558268</v>
      </c>
      <c r="O35" s="57">
        <f>K35/G35*100</f>
        <v>140.15370670600095</v>
      </c>
      <c r="P35" s="58">
        <f>C35*L35/100</f>
        <v>5.4629330553440685</v>
      </c>
      <c r="Q35" s="57">
        <f>M35*C35/100</f>
        <v>6.0341653909942154</v>
      </c>
      <c r="R35" s="57">
        <f>N35*C35/100</f>
        <v>6.7504199202791346</v>
      </c>
      <c r="S35" s="57">
        <f>O35*C35/100</f>
        <v>7.0076853353000477</v>
      </c>
      <c r="T35" t="s">
        <v>14</v>
      </c>
    </row>
    <row r="36" spans="1:20" ht="18.75" customHeight="1">
      <c r="A36" s="70"/>
      <c r="B36" s="60" t="s">
        <v>36</v>
      </c>
      <c r="C36" s="61"/>
      <c r="D36" s="182">
        <v>1408607</v>
      </c>
      <c r="E36" s="182">
        <f>D36+1278499</f>
        <v>2687106</v>
      </c>
      <c r="F36" s="182">
        <f>E36+1693720</f>
        <v>4380826</v>
      </c>
      <c r="G36" s="183">
        <f>F36+2169339</f>
        <v>6550165</v>
      </c>
      <c r="H36" s="162">
        <v>1542956</v>
      </c>
      <c r="I36" s="180">
        <v>3041931</v>
      </c>
      <c r="J36" s="180">
        <v>5374366</v>
      </c>
      <c r="K36" s="181">
        <v>8772999</v>
      </c>
      <c r="L36" s="70"/>
      <c r="M36" s="60"/>
      <c r="N36" s="11"/>
      <c r="O36" s="15"/>
      <c r="P36" s="65"/>
      <c r="Q36" s="63"/>
      <c r="R36" s="63"/>
      <c r="S36" s="63"/>
    </row>
    <row r="37" spans="1:20" ht="101.25" customHeight="1">
      <c r="A37" s="70"/>
      <c r="B37" s="17" t="s">
        <v>138</v>
      </c>
      <c r="C37" s="5"/>
      <c r="D37" s="9">
        <v>22368976</v>
      </c>
      <c r="E37" s="4">
        <v>23011637</v>
      </c>
      <c r="F37" s="4">
        <v>25040164</v>
      </c>
      <c r="G37" s="8">
        <v>25581206</v>
      </c>
      <c r="H37" s="162">
        <f>((25981422-4326871)+(25468504-2270837))/2</f>
        <v>22426109</v>
      </c>
      <c r="I37" s="162">
        <f>((25981422-4326871)+(22384447-867724))/2</f>
        <v>21585637</v>
      </c>
      <c r="J37" s="162">
        <f>((25981422-4326871)+(24412426-560039))/2</f>
        <v>22753469</v>
      </c>
      <c r="K37" s="192">
        <f>((25981422-4326871)+(28659774-1421823))/2</f>
        <v>24446251</v>
      </c>
      <c r="L37" s="70"/>
      <c r="M37" s="60"/>
      <c r="N37" s="4"/>
      <c r="O37" s="8"/>
      <c r="P37" s="65"/>
      <c r="Q37" s="63"/>
      <c r="R37" s="63"/>
      <c r="S37" s="63"/>
    </row>
    <row r="38" spans="1:20" ht="24.75" customHeight="1">
      <c r="A38" s="48" t="s">
        <v>39</v>
      </c>
      <c r="B38" s="49" t="s">
        <v>40</v>
      </c>
      <c r="C38" s="50">
        <v>5</v>
      </c>
      <c r="D38" s="82">
        <v>1</v>
      </c>
      <c r="E38" s="82">
        <f>(E40-E41+E42)/E40</f>
        <v>0.55223880597014929</v>
      </c>
      <c r="F38" s="82">
        <f>(F40-F41+F42)/F40</f>
        <v>0.55223880597014929</v>
      </c>
      <c r="G38" s="84">
        <f>(G40-G41+G42)/G40</f>
        <v>0.55223880597014929</v>
      </c>
      <c r="H38" s="83">
        <v>1</v>
      </c>
      <c r="I38" s="82">
        <f>(I40-I41+I42)/I40</f>
        <v>0.55223880597014929</v>
      </c>
      <c r="J38" s="82">
        <f>(J40-J41+J42)/J40</f>
        <v>0.55223880597014929</v>
      </c>
      <c r="K38" s="82">
        <f>(K40-K41+K42)/K40</f>
        <v>0.55223880597014929</v>
      </c>
      <c r="L38" s="76">
        <v>100</v>
      </c>
      <c r="M38" s="90">
        <f>I38/E38*100</f>
        <v>100</v>
      </c>
      <c r="N38" s="90">
        <f>J38/F38*100</f>
        <v>100</v>
      </c>
      <c r="O38" s="91">
        <v>100</v>
      </c>
      <c r="P38" s="78">
        <v>5</v>
      </c>
      <c r="Q38" s="57">
        <f>M38*C38/100</f>
        <v>5</v>
      </c>
      <c r="R38" s="57">
        <f>N38*C38/100</f>
        <v>5</v>
      </c>
      <c r="S38" s="91">
        <v>5</v>
      </c>
      <c r="T38" t="s">
        <v>14</v>
      </c>
    </row>
    <row r="39" spans="1:20" ht="66.75" customHeight="1">
      <c r="A39" s="16"/>
      <c r="B39" s="10" t="s">
        <v>41</v>
      </c>
      <c r="C39" s="14"/>
      <c r="D39" s="4"/>
      <c r="E39" s="4"/>
      <c r="F39" s="4"/>
      <c r="G39" s="8"/>
      <c r="H39" s="76"/>
      <c r="I39" s="180"/>
      <c r="J39" s="180"/>
      <c r="K39" s="180"/>
      <c r="L39" s="76"/>
      <c r="M39" s="74"/>
      <c r="N39" s="56"/>
      <c r="O39" s="57"/>
      <c r="P39" s="85"/>
      <c r="Q39" s="77"/>
      <c r="R39" s="57"/>
      <c r="S39" s="57"/>
      <c r="T39" s="18"/>
    </row>
    <row r="40" spans="1:20">
      <c r="A40" s="16"/>
      <c r="B40" s="4" t="s">
        <v>42</v>
      </c>
      <c r="C40" s="5"/>
      <c r="D40" s="4">
        <v>3350</v>
      </c>
      <c r="E40" s="4">
        <v>3350</v>
      </c>
      <c r="F40" s="4">
        <v>3350</v>
      </c>
      <c r="G40" s="8">
        <v>3350</v>
      </c>
      <c r="H40" s="4">
        <v>3350</v>
      </c>
      <c r="I40" s="180">
        <v>3350</v>
      </c>
      <c r="J40" s="180">
        <v>3350</v>
      </c>
      <c r="K40" s="180">
        <v>3350</v>
      </c>
      <c r="L40" s="16"/>
      <c r="M40" s="4"/>
      <c r="N40" s="4"/>
      <c r="O40" s="8"/>
      <c r="P40" s="86"/>
      <c r="Q40" s="8"/>
      <c r="R40" s="8"/>
      <c r="S40" s="8"/>
      <c r="T40" s="18"/>
    </row>
    <row r="41" spans="1:20">
      <c r="A41" s="16"/>
      <c r="B41" s="4" t="s">
        <v>43</v>
      </c>
      <c r="C41" s="5"/>
      <c r="D41" s="4">
        <v>3350</v>
      </c>
      <c r="E41" s="4">
        <v>3350</v>
      </c>
      <c r="F41" s="4">
        <v>3350</v>
      </c>
      <c r="G41" s="8">
        <v>3350</v>
      </c>
      <c r="H41" s="4">
        <v>3350</v>
      </c>
      <c r="I41" s="180">
        <v>3350</v>
      </c>
      <c r="J41" s="180">
        <v>3350</v>
      </c>
      <c r="K41" s="180">
        <v>3350</v>
      </c>
      <c r="L41" s="16"/>
      <c r="M41" s="4"/>
      <c r="N41" s="4"/>
      <c r="O41" s="8"/>
      <c r="P41" s="86"/>
      <c r="Q41" s="8"/>
      <c r="R41" s="8"/>
      <c r="S41" s="8"/>
      <c r="T41" s="18"/>
    </row>
    <row r="42" spans="1:20">
      <c r="A42" s="16"/>
      <c r="B42" s="4" t="s">
        <v>44</v>
      </c>
      <c r="C42" s="5"/>
      <c r="D42" s="4">
        <v>0</v>
      </c>
      <c r="E42" s="4">
        <v>1850</v>
      </c>
      <c r="F42" s="4">
        <v>1850</v>
      </c>
      <c r="G42" s="8">
        <v>1850</v>
      </c>
      <c r="H42" s="4">
        <v>0</v>
      </c>
      <c r="I42" s="180">
        <v>1850</v>
      </c>
      <c r="J42" s="180">
        <v>1850</v>
      </c>
      <c r="K42" s="180">
        <v>1850</v>
      </c>
      <c r="L42" s="16"/>
      <c r="M42" s="4"/>
      <c r="N42" s="4"/>
      <c r="O42" s="8"/>
      <c r="P42" s="86"/>
      <c r="Q42" s="8"/>
      <c r="R42" s="8"/>
      <c r="S42" s="8"/>
      <c r="T42" s="18"/>
    </row>
    <row r="43" spans="1:20">
      <c r="A43" s="73" t="s">
        <v>45</v>
      </c>
      <c r="B43" s="53" t="s">
        <v>46</v>
      </c>
      <c r="C43" s="53"/>
      <c r="D43" s="74"/>
      <c r="E43" s="74"/>
      <c r="F43" s="74"/>
      <c r="G43" s="77"/>
      <c r="H43" s="76"/>
      <c r="I43" s="74"/>
      <c r="J43" s="74"/>
      <c r="K43" s="77"/>
      <c r="L43" s="76"/>
      <c r="M43" s="74"/>
      <c r="N43" s="74"/>
      <c r="O43" s="77"/>
      <c r="P43" s="78"/>
      <c r="Q43" s="77"/>
      <c r="R43" s="77"/>
      <c r="S43" s="77"/>
    </row>
    <row r="44" spans="1:20">
      <c r="A44" s="70"/>
      <c r="B44" s="74" t="s">
        <v>47</v>
      </c>
      <c r="C44" s="50">
        <v>4.9999874999999996</v>
      </c>
      <c r="D44" s="169">
        <f>D45/D46</f>
        <v>6.5248534766082597E-2</v>
      </c>
      <c r="E44" s="82">
        <f>E45/E46</f>
        <v>0.12333452585618943</v>
      </c>
      <c r="F44" s="82">
        <f>F45/F46</f>
        <v>0.18893569837321908</v>
      </c>
      <c r="G44" s="84">
        <f>G45/G46</f>
        <v>0.27709760296214292</v>
      </c>
      <c r="H44" s="168">
        <f>H45/H46</f>
        <v>7.0574912002788884E-2</v>
      </c>
      <c r="I44" s="82">
        <f t="shared" ref="I44:K44" si="8">I45/I46</f>
        <v>0.14791571304135981</v>
      </c>
      <c r="J44" s="82">
        <f t="shared" si="8"/>
        <v>0.25211248007891757</v>
      </c>
      <c r="K44" s="84">
        <f t="shared" si="8"/>
        <v>0.38014080072478645</v>
      </c>
      <c r="L44" s="55">
        <f>H44/D44*100</f>
        <v>108.16321355843692</v>
      </c>
      <c r="M44" s="56">
        <f>I44/E44*100</f>
        <v>119.93049960222213</v>
      </c>
      <c r="N44" s="56">
        <f>J44/F44*100</f>
        <v>133.43824499534259</v>
      </c>
      <c r="O44" s="57">
        <f>K44/G44*100</f>
        <v>137.18660741237855</v>
      </c>
      <c r="P44" s="58">
        <f>C44*L44/100</f>
        <v>5.4081471575201512</v>
      </c>
      <c r="Q44" s="57">
        <f>M44*C44/100</f>
        <v>5.9965099887986559</v>
      </c>
      <c r="R44" s="57">
        <f>N44*C44/100</f>
        <v>6.6718955699865043</v>
      </c>
      <c r="S44" s="57">
        <f>O44*C44/100</f>
        <v>6.8593132222930002</v>
      </c>
      <c r="T44" t="s">
        <v>14</v>
      </c>
    </row>
    <row r="45" spans="1:20" ht="65.25" customHeight="1">
      <c r="A45" s="70"/>
      <c r="B45" s="66" t="s">
        <v>48</v>
      </c>
      <c r="C45" s="61"/>
      <c r="D45" s="188">
        <v>1667218</v>
      </c>
      <c r="E45" s="188">
        <f>D45+1544417</f>
        <v>3211635</v>
      </c>
      <c r="F45" s="188">
        <f>E45+2033744</f>
        <v>5245379</v>
      </c>
      <c r="G45" s="189">
        <f>F45+2647836</f>
        <v>7893215</v>
      </c>
      <c r="H45" s="162">
        <v>1815537</v>
      </c>
      <c r="I45" s="180">
        <v>3577036</v>
      </c>
      <c r="J45" s="180">
        <v>6352459</v>
      </c>
      <c r="K45" s="181">
        <v>10385674</v>
      </c>
      <c r="L45" s="70"/>
      <c r="M45" s="60"/>
      <c r="N45" s="60"/>
      <c r="O45" s="63"/>
      <c r="P45" s="65"/>
      <c r="Q45" s="63"/>
      <c r="R45" s="63"/>
      <c r="S45" s="63"/>
    </row>
    <row r="46" spans="1:20" ht="146.25" customHeight="1">
      <c r="A46" s="70"/>
      <c r="B46" s="87" t="s">
        <v>49</v>
      </c>
      <c r="C46" s="61"/>
      <c r="D46" s="4">
        <f>(25981422+25122193)/2</f>
        <v>25551807.5</v>
      </c>
      <c r="E46" s="4">
        <f>(25981422+26098642)/2</f>
        <v>26040032</v>
      </c>
      <c r="F46" s="4">
        <f>(25981422+29544125)/2</f>
        <v>27762773.5</v>
      </c>
      <c r="G46" s="4">
        <f>(25981422+30989226)/2</f>
        <v>28485324</v>
      </c>
      <c r="H46" s="162">
        <f>(25981422+25468504)/2</f>
        <v>25724963</v>
      </c>
      <c r="I46" s="192">
        <f>(25981422+22384447)/2</f>
        <v>24182934.5</v>
      </c>
      <c r="J46" s="192">
        <f>(25981422+24412426)/2</f>
        <v>25196924</v>
      </c>
      <c r="K46" s="192">
        <f>(25981422+28659774)/2</f>
        <v>27320598</v>
      </c>
      <c r="L46" s="70"/>
      <c r="M46" s="60"/>
      <c r="N46" s="60"/>
      <c r="O46" s="63"/>
      <c r="P46" s="65"/>
      <c r="Q46" s="63"/>
      <c r="R46" s="63"/>
      <c r="S46" s="63"/>
    </row>
    <row r="47" spans="1:20" ht="28.5" customHeight="1">
      <c r="A47" s="73" t="s">
        <v>50</v>
      </c>
      <c r="B47" s="49" t="s">
        <v>51</v>
      </c>
      <c r="C47" s="53"/>
      <c r="D47" s="74"/>
      <c r="E47" s="74"/>
      <c r="F47" s="74"/>
      <c r="G47" s="77"/>
      <c r="H47" s="76"/>
      <c r="I47" s="74"/>
      <c r="J47" s="74"/>
      <c r="K47" s="77"/>
      <c r="L47" s="76"/>
      <c r="M47" s="74"/>
      <c r="N47" s="74"/>
      <c r="O47" s="77"/>
      <c r="P47" s="78"/>
      <c r="Q47" s="77"/>
      <c r="R47" s="77"/>
      <c r="S47" s="77"/>
    </row>
    <row r="48" spans="1:20" ht="64.5" customHeight="1">
      <c r="A48" s="70"/>
      <c r="B48" s="88" t="s">
        <v>52</v>
      </c>
      <c r="C48" s="50">
        <v>4.9999874999999996</v>
      </c>
      <c r="D48" s="82">
        <f>D49/D50</f>
        <v>2.273361048081739</v>
      </c>
      <c r="E48" s="82">
        <f>E49/E50</f>
        <v>2.4747157361825312</v>
      </c>
      <c r="F48" s="82">
        <f>F49/F50</f>
        <v>4.9512709818410725</v>
      </c>
      <c r="G48" s="84">
        <f>G49/G50</f>
        <v>3.1605079365936577</v>
      </c>
      <c r="H48" s="83">
        <f t="shared" ref="H48:K48" si="9">H49/H50</f>
        <v>4.6674643379994247</v>
      </c>
      <c r="I48" s="90">
        <f t="shared" si="9"/>
        <v>6.5141121590319422</v>
      </c>
      <c r="J48" s="90">
        <f t="shared" si="9"/>
        <v>10.852554911354387</v>
      </c>
      <c r="K48" s="91">
        <f t="shared" si="9"/>
        <v>2.8035423537247603</v>
      </c>
      <c r="L48" s="55">
        <f>H48/D48*100</f>
        <v>205.31117755966784</v>
      </c>
      <c r="M48" s="56">
        <f>I48/E48*100</f>
        <v>263.22668352529809</v>
      </c>
      <c r="N48" s="56">
        <f>J48/F48*100</f>
        <v>219.18725416476784</v>
      </c>
      <c r="O48" s="57">
        <f>K48/G48*100</f>
        <v>88.705436277004608</v>
      </c>
      <c r="P48" s="58">
        <f>C48*L48/100</f>
        <v>10.265533214086197</v>
      </c>
      <c r="Q48" s="57">
        <f>M48*C48/100</f>
        <v>13.161301272929464</v>
      </c>
      <c r="R48" s="57">
        <f>N48*C48/100</f>
        <v>10.959335309831619</v>
      </c>
      <c r="S48" s="57">
        <f>O48*C48/100</f>
        <v>4.4352607256706955</v>
      </c>
      <c r="T48" t="s">
        <v>14</v>
      </c>
    </row>
    <row r="49" spans="1:20" ht="42" customHeight="1">
      <c r="A49" s="70"/>
      <c r="B49" s="66" t="s">
        <v>139</v>
      </c>
      <c r="C49" s="61"/>
      <c r="D49" s="4">
        <v>2918525</v>
      </c>
      <c r="E49" s="4">
        <v>3452028</v>
      </c>
      <c r="F49" s="4">
        <v>5537244</v>
      </c>
      <c r="G49" s="8">
        <v>4681869</v>
      </c>
      <c r="H49" s="162">
        <v>7355163</v>
      </c>
      <c r="I49" s="180">
        <v>4870758</v>
      </c>
      <c r="J49" s="180">
        <v>6077854</v>
      </c>
      <c r="K49" s="181">
        <v>3986141</v>
      </c>
      <c r="L49" s="70"/>
      <c r="M49" s="60"/>
      <c r="N49" s="60"/>
      <c r="O49" s="63"/>
      <c r="P49" s="65"/>
      <c r="Q49" s="63"/>
      <c r="R49" s="63"/>
      <c r="S49" s="63"/>
    </row>
    <row r="50" spans="1:20" ht="26.25" customHeight="1">
      <c r="A50" s="70"/>
      <c r="B50" s="66" t="s">
        <v>140</v>
      </c>
      <c r="C50" s="61"/>
      <c r="D50" s="4">
        <v>1283793</v>
      </c>
      <c r="E50" s="4">
        <v>1394919</v>
      </c>
      <c r="F50" s="4">
        <v>1118348</v>
      </c>
      <c r="G50" s="8">
        <v>1481366</v>
      </c>
      <c r="H50" s="162">
        <v>1575837</v>
      </c>
      <c r="I50" s="180">
        <v>747724</v>
      </c>
      <c r="J50" s="180">
        <v>560039</v>
      </c>
      <c r="K50" s="181">
        <v>1421823</v>
      </c>
      <c r="L50" s="70"/>
      <c r="M50" s="60"/>
      <c r="N50" s="60"/>
      <c r="O50" s="63"/>
      <c r="P50" s="65"/>
      <c r="Q50" s="63"/>
      <c r="R50" s="63"/>
      <c r="S50" s="63"/>
    </row>
    <row r="51" spans="1:20" ht="27.75" customHeight="1">
      <c r="A51" s="73" t="s">
        <v>53</v>
      </c>
      <c r="B51" s="88" t="s">
        <v>54</v>
      </c>
      <c r="C51" s="53"/>
      <c r="D51" s="74"/>
      <c r="E51" s="74"/>
      <c r="F51" s="74"/>
      <c r="G51" s="77"/>
      <c r="H51" s="76"/>
      <c r="I51" s="74"/>
      <c r="J51" s="74"/>
      <c r="K51" s="77"/>
      <c r="L51" s="76"/>
      <c r="M51" s="74"/>
      <c r="N51" s="74"/>
      <c r="O51" s="77"/>
      <c r="P51" s="78"/>
      <c r="Q51" s="77"/>
      <c r="R51" s="77"/>
      <c r="S51" s="77"/>
    </row>
    <row r="52" spans="1:20">
      <c r="A52" s="70"/>
      <c r="B52" s="74" t="s">
        <v>55</v>
      </c>
      <c r="C52" s="50">
        <v>5</v>
      </c>
      <c r="D52" s="90">
        <f>D53/((D54-D55))</f>
        <v>17.177794496622621</v>
      </c>
      <c r="E52" s="90">
        <f>E53/((E54-E55))</f>
        <v>17.469633003780149</v>
      </c>
      <c r="F52" s="90">
        <f>F53/((F54-F55))</f>
        <v>25.41764906808972</v>
      </c>
      <c r="G52" s="91">
        <f>G53/((G54-G55))</f>
        <v>19.91935753892016</v>
      </c>
      <c r="H52" s="89">
        <f>H53/(H54-H55)</f>
        <v>14.720854377705308</v>
      </c>
      <c r="I52" s="82">
        <f>I53/(I54-I55)</f>
        <v>28.776290449417164</v>
      </c>
      <c r="J52" s="82">
        <f>J53/(J54-J55)</f>
        <v>42.590582084461978</v>
      </c>
      <c r="K52" s="84">
        <f>K53/(K54-K55)</f>
        <v>19.157061743972353</v>
      </c>
      <c r="L52" s="55">
        <f>H52/D52*100</f>
        <v>85.696998998326706</v>
      </c>
      <c r="M52" s="56">
        <f>I52/E52*100</f>
        <v>164.72178003504959</v>
      </c>
      <c r="N52" s="56">
        <f>J52/F52*100</f>
        <v>167.56302666060415</v>
      </c>
      <c r="O52" s="57">
        <f>K52/G52*100</f>
        <v>96.173090455059267</v>
      </c>
      <c r="P52" s="58">
        <f>C52*L52/100</f>
        <v>4.2848499499163353</v>
      </c>
      <c r="Q52" s="57">
        <f>M52*C52/100</f>
        <v>8.2360890017524806</v>
      </c>
      <c r="R52" s="57">
        <f>N52*C52/100</f>
        <v>8.3781513330302069</v>
      </c>
      <c r="S52" s="57">
        <f>O52*C52/100</f>
        <v>4.8086545227529633</v>
      </c>
      <c r="T52" t="s">
        <v>14</v>
      </c>
    </row>
    <row r="53" spans="1:20" ht="41.25" customHeight="1">
      <c r="A53" s="70"/>
      <c r="B53" s="66" t="s">
        <v>56</v>
      </c>
      <c r="C53" s="61"/>
      <c r="D53" s="4">
        <v>23083400</v>
      </c>
      <c r="E53" s="4">
        <v>24368723</v>
      </c>
      <c r="F53" s="4">
        <v>28425777</v>
      </c>
      <c r="G53" s="8">
        <v>29507859</v>
      </c>
      <c r="H53" s="162">
        <v>23197667</v>
      </c>
      <c r="I53" s="180">
        <v>21516723</v>
      </c>
      <c r="J53" s="60">
        <v>23852387</v>
      </c>
      <c r="K53" s="63">
        <v>27237951</v>
      </c>
      <c r="L53" s="70"/>
      <c r="M53" s="60"/>
      <c r="N53" s="60"/>
      <c r="O53" s="63"/>
      <c r="P53" s="65"/>
      <c r="Q53" s="63"/>
      <c r="R53" s="63"/>
      <c r="S53" s="63"/>
    </row>
    <row r="54" spans="1:20" ht="27.75" customHeight="1">
      <c r="A54" s="70"/>
      <c r="B54" s="66" t="s">
        <v>57</v>
      </c>
      <c r="C54" s="61"/>
      <c r="D54" s="4">
        <v>2038793</v>
      </c>
      <c r="E54" s="4">
        <v>1729919</v>
      </c>
      <c r="F54" s="4">
        <v>1118348</v>
      </c>
      <c r="G54" s="8">
        <v>1481366</v>
      </c>
      <c r="H54" s="162">
        <v>2270837</v>
      </c>
      <c r="I54" s="180">
        <v>867724</v>
      </c>
      <c r="J54" s="60">
        <v>560039</v>
      </c>
      <c r="K54" s="63">
        <v>1421823</v>
      </c>
      <c r="L54" s="70"/>
      <c r="M54" s="60"/>
      <c r="N54" s="60"/>
      <c r="O54" s="63"/>
      <c r="P54" s="65"/>
      <c r="Q54" s="63"/>
      <c r="R54" s="63"/>
      <c r="S54" s="63"/>
    </row>
    <row r="55" spans="1:20" ht="29.25" customHeight="1">
      <c r="A55" s="70"/>
      <c r="B55" s="66" t="s">
        <v>58</v>
      </c>
      <c r="C55" s="61"/>
      <c r="D55" s="4">
        <v>695000</v>
      </c>
      <c r="E55" s="4">
        <v>335000</v>
      </c>
      <c r="F55" s="4">
        <v>0</v>
      </c>
      <c r="G55" s="8">
        <v>0</v>
      </c>
      <c r="H55" s="162">
        <v>695000</v>
      </c>
      <c r="I55" s="180">
        <v>120000</v>
      </c>
      <c r="J55" s="60">
        <v>0</v>
      </c>
      <c r="K55" s="63">
        <v>0</v>
      </c>
      <c r="L55" s="70"/>
      <c r="M55" s="60"/>
      <c r="N55" s="60"/>
      <c r="O55" s="63"/>
      <c r="P55" s="65"/>
      <c r="Q55" s="63"/>
      <c r="R55" s="63"/>
      <c r="S55" s="63"/>
    </row>
    <row r="56" spans="1:20" ht="27" customHeight="1">
      <c r="A56" s="73" t="s">
        <v>59</v>
      </c>
      <c r="B56" s="49" t="s">
        <v>60</v>
      </c>
      <c r="C56" s="53"/>
      <c r="D56" s="74"/>
      <c r="E56" s="74"/>
      <c r="F56" s="74"/>
      <c r="G56" s="77"/>
      <c r="H56" s="76"/>
      <c r="I56" s="74"/>
      <c r="J56" s="74"/>
      <c r="K56" s="77"/>
      <c r="L56" s="76"/>
      <c r="M56" s="74"/>
      <c r="N56" s="74"/>
      <c r="O56" s="77"/>
      <c r="P56" s="78"/>
      <c r="Q56" s="77"/>
      <c r="R56" s="77"/>
      <c r="S56" s="77"/>
    </row>
    <row r="57" spans="1:20" ht="21" customHeight="1">
      <c r="A57" s="70"/>
      <c r="B57" s="88" t="s">
        <v>61</v>
      </c>
      <c r="C57" s="50">
        <v>4.9999874999999996</v>
      </c>
      <c r="D57" s="93">
        <v>7</v>
      </c>
      <c r="E57" s="93">
        <f>E59/(E58/E60)</f>
        <v>6.8466539233961656</v>
      </c>
      <c r="F57" s="93">
        <f>F59/(F58/F60)</f>
        <v>5.6192064961043924</v>
      </c>
      <c r="G57" s="94">
        <f>G59/(G58/G60)</f>
        <v>6.9855608713310335</v>
      </c>
      <c r="H57" s="89">
        <v>7</v>
      </c>
      <c r="I57" s="93">
        <f t="shared" ref="I57" si="10">I59/(I58/I60)</f>
        <v>8.7580068840942449</v>
      </c>
      <c r="J57" s="93">
        <f>J59/(J58/J60)</f>
        <v>8.0395065235813252</v>
      </c>
      <c r="K57" s="94">
        <f>K59/(K58/K60)</f>
        <v>8.4994058588386174</v>
      </c>
      <c r="L57" s="55">
        <f>D57/H57*100</f>
        <v>100</v>
      </c>
      <c r="M57" s="56">
        <f>D57/I57*100</f>
        <v>79.926861129933229</v>
      </c>
      <c r="N57" s="56">
        <f>F57/J57*100</f>
        <v>69.894918047796153</v>
      </c>
      <c r="O57" s="57">
        <f>G57/K57*100</f>
        <v>82.188813987117442</v>
      </c>
      <c r="P57" s="58">
        <f>C57*L57/100</f>
        <v>4.9999874999999996</v>
      </c>
      <c r="Q57" s="57">
        <f>M57*C57/100</f>
        <v>3.9963330656390199</v>
      </c>
      <c r="R57" s="57">
        <f>N57*C57/100</f>
        <v>3.4947371655250516</v>
      </c>
      <c r="S57" s="57">
        <f>O57*C57/100</f>
        <v>4.1094304257541232</v>
      </c>
      <c r="T57" t="s">
        <v>28</v>
      </c>
    </row>
    <row r="58" spans="1:20" ht="53.25" customHeight="1">
      <c r="A58" s="70"/>
      <c r="B58" s="66" t="s">
        <v>62</v>
      </c>
      <c r="C58" s="61"/>
      <c r="D58" s="190">
        <v>18573648</v>
      </c>
      <c r="E58" s="190">
        <f>D58+18302809</f>
        <v>36876457</v>
      </c>
      <c r="F58" s="190">
        <f>E58+17456660</f>
        <v>54333117</v>
      </c>
      <c r="G58" s="191">
        <f>F58+23069199</f>
        <v>77402316</v>
      </c>
      <c r="H58" s="162">
        <v>20173117</v>
      </c>
      <c r="I58" s="190">
        <v>39004405</v>
      </c>
      <c r="J58" s="180">
        <v>60900904</v>
      </c>
      <c r="K58" s="181">
        <v>95522754</v>
      </c>
      <c r="L58" s="70"/>
      <c r="M58" s="60"/>
      <c r="N58" s="11"/>
      <c r="O58" s="63"/>
      <c r="P58" s="65"/>
      <c r="Q58" s="8"/>
      <c r="R58" s="8"/>
      <c r="S58" s="8"/>
    </row>
    <row r="59" spans="1:20" ht="25.5" customHeight="1">
      <c r="A59" s="70"/>
      <c r="B59" s="66" t="s">
        <v>63</v>
      </c>
      <c r="C59" s="61"/>
      <c r="D59" s="4">
        <v>90</v>
      </c>
      <c r="E59" s="4">
        <v>181</v>
      </c>
      <c r="F59" s="4">
        <v>273</v>
      </c>
      <c r="G59" s="8">
        <v>365</v>
      </c>
      <c r="H59" s="162">
        <v>90</v>
      </c>
      <c r="I59" s="180">
        <v>181</v>
      </c>
      <c r="J59" s="180">
        <v>273</v>
      </c>
      <c r="K59" s="181">
        <v>365</v>
      </c>
      <c r="L59" s="70"/>
      <c r="M59" s="60"/>
      <c r="N59" s="4"/>
      <c r="O59" s="63"/>
      <c r="P59" s="65"/>
      <c r="Q59" s="8"/>
      <c r="R59" s="8"/>
      <c r="S59" s="8"/>
    </row>
    <row r="60" spans="1:20" ht="87.75" customHeight="1">
      <c r="A60" s="70"/>
      <c r="B60" s="66" t="s">
        <v>64</v>
      </c>
      <c r="C60" s="61"/>
      <c r="D60" s="4">
        <v>1343793</v>
      </c>
      <c r="E60" s="4">
        <v>1394919</v>
      </c>
      <c r="F60" s="6">
        <v>1118348</v>
      </c>
      <c r="G60" s="8">
        <v>1481366</v>
      </c>
      <c r="H60" s="162">
        <v>1575837</v>
      </c>
      <c r="I60" s="180">
        <f>(3026871+747724)/2</f>
        <v>1887297.5</v>
      </c>
      <c r="J60" s="180">
        <f>(3026871+560039)/2</f>
        <v>1793455</v>
      </c>
      <c r="K60" s="180">
        <f>(3026871+1421823)/2</f>
        <v>2224347</v>
      </c>
      <c r="L60" s="70"/>
      <c r="M60" s="60"/>
      <c r="N60" s="60"/>
      <c r="O60" s="63"/>
      <c r="P60" s="65"/>
      <c r="Q60" s="63"/>
      <c r="R60" s="63"/>
      <c r="S60" s="63"/>
    </row>
    <row r="61" spans="1:20" ht="30" customHeight="1">
      <c r="A61" s="73" t="s">
        <v>65</v>
      </c>
      <c r="B61" s="49" t="s">
        <v>66</v>
      </c>
      <c r="C61" s="53"/>
      <c r="D61" s="74"/>
      <c r="E61" s="74"/>
      <c r="F61" s="74"/>
      <c r="G61" s="77"/>
      <c r="H61" s="76"/>
      <c r="I61" s="74"/>
      <c r="J61" s="74"/>
      <c r="K61" s="77"/>
      <c r="L61" s="76"/>
      <c r="M61" s="74"/>
      <c r="N61" s="74"/>
      <c r="O61" s="77"/>
      <c r="P61" s="78"/>
      <c r="Q61" s="77"/>
      <c r="R61" s="77"/>
      <c r="S61" s="77"/>
    </row>
    <row r="62" spans="1:20" ht="22.5" customHeight="1">
      <c r="A62" s="73"/>
      <c r="B62" s="88" t="s">
        <v>67</v>
      </c>
      <c r="C62" s="50">
        <v>5</v>
      </c>
      <c r="D62" s="93">
        <v>10.816815307364498</v>
      </c>
      <c r="E62" s="93">
        <v>5.6645828800744065</v>
      </c>
      <c r="F62" s="93">
        <v>6</v>
      </c>
      <c r="G62" s="94">
        <v>5.9474451643023194</v>
      </c>
      <c r="H62" s="95">
        <v>7.8165124407893929</v>
      </c>
      <c r="I62" s="93">
        <f t="shared" ref="I62:K62" si="11">I64/(I63/I65)</f>
        <v>5.6518756022556937</v>
      </c>
      <c r="J62" s="93">
        <v>6</v>
      </c>
      <c r="K62" s="94">
        <f t="shared" si="11"/>
        <v>14.577216204423921</v>
      </c>
      <c r="L62" s="55">
        <f>D62/H62*100</f>
        <v>138.38416287701966</v>
      </c>
      <c r="M62" s="56">
        <f>E62/I62*100</f>
        <v>100.22483293534701</v>
      </c>
      <c r="N62" s="56">
        <f>F62/J62*100</f>
        <v>100</v>
      </c>
      <c r="O62" s="57">
        <f>G62/K62*100</f>
        <v>40.799594935673504</v>
      </c>
      <c r="P62" s="58">
        <f>C62*L62/100</f>
        <v>6.9192081438509829</v>
      </c>
      <c r="Q62" s="57">
        <f>M62*C62/100</f>
        <v>5.0112416467673508</v>
      </c>
      <c r="R62" s="57">
        <f>N62*C62/100</f>
        <v>5</v>
      </c>
      <c r="S62" s="57">
        <f>O62*C62/100</f>
        <v>2.0399797467836751</v>
      </c>
      <c r="T62" t="s">
        <v>28</v>
      </c>
    </row>
    <row r="63" spans="1:20" ht="49.5" customHeight="1">
      <c r="A63" s="73"/>
      <c r="B63" s="66" t="s">
        <v>62</v>
      </c>
      <c r="C63" s="61"/>
      <c r="D63" s="5">
        <v>18573648</v>
      </c>
      <c r="E63" s="5">
        <f>D63+18302809</f>
        <v>36876457</v>
      </c>
      <c r="F63" s="5">
        <f>E63+17456660</f>
        <v>54333117</v>
      </c>
      <c r="G63" s="71">
        <f>F63+23069199</f>
        <v>77402316</v>
      </c>
      <c r="H63" s="162">
        <v>20173117</v>
      </c>
      <c r="I63" s="184">
        <v>39004405</v>
      </c>
      <c r="J63" s="180">
        <v>60900904</v>
      </c>
      <c r="K63" s="181">
        <v>95522754</v>
      </c>
      <c r="L63" s="70"/>
      <c r="M63" s="60"/>
      <c r="N63" s="60"/>
      <c r="O63" s="63"/>
      <c r="P63" s="65"/>
      <c r="Q63" s="63"/>
      <c r="R63" s="63"/>
      <c r="S63" s="63"/>
    </row>
    <row r="64" spans="1:20" ht="26.25" customHeight="1">
      <c r="A64" s="73"/>
      <c r="B64" s="66" t="s">
        <v>63</v>
      </c>
      <c r="C64" s="61"/>
      <c r="D64" s="4">
        <v>90</v>
      </c>
      <c r="E64" s="4">
        <v>181</v>
      </c>
      <c r="F64" s="4">
        <v>273</v>
      </c>
      <c r="G64" s="8">
        <v>365</v>
      </c>
      <c r="H64" s="154">
        <v>90</v>
      </c>
      <c r="I64" s="180">
        <v>181</v>
      </c>
      <c r="J64" s="180">
        <v>273</v>
      </c>
      <c r="K64" s="181">
        <v>365</v>
      </c>
      <c r="L64" s="70"/>
      <c r="M64" s="60"/>
      <c r="N64" s="60"/>
      <c r="O64" s="63"/>
      <c r="P64" s="65"/>
      <c r="Q64" s="63"/>
      <c r="R64" s="63"/>
      <c r="S64" s="63"/>
    </row>
    <row r="65" spans="1:20" ht="93.75" customHeight="1">
      <c r="A65" s="73"/>
      <c r="B65" s="66" t="s">
        <v>68</v>
      </c>
      <c r="C65" s="61"/>
      <c r="D65" s="4">
        <v>2232308</v>
      </c>
      <c r="E65" s="4">
        <v>1154087</v>
      </c>
      <c r="F65" s="4">
        <v>1187681</v>
      </c>
      <c r="G65" s="8">
        <v>1261222</v>
      </c>
      <c r="H65" s="162">
        <v>1752038</v>
      </c>
      <c r="I65" s="180">
        <f>(1114488+1321402)/2</f>
        <v>1217945</v>
      </c>
      <c r="J65" s="180">
        <f>(1114488+1603970)/2</f>
        <v>1359229</v>
      </c>
      <c r="K65" s="180">
        <f>(1114488+6515407)/2</f>
        <v>3814947.5</v>
      </c>
      <c r="L65" s="70"/>
      <c r="M65" s="60"/>
      <c r="N65" s="60"/>
      <c r="O65" s="63"/>
      <c r="P65" s="65"/>
      <c r="Q65" s="63"/>
      <c r="R65" s="63"/>
      <c r="S65" s="63"/>
    </row>
    <row r="66" spans="1:20" ht="26.25" customHeight="1">
      <c r="A66" s="73" t="s">
        <v>69</v>
      </c>
      <c r="B66" s="88" t="s">
        <v>70</v>
      </c>
      <c r="C66" s="53"/>
      <c r="D66" s="74"/>
      <c r="E66" s="74"/>
      <c r="F66" s="74"/>
      <c r="G66" s="77"/>
      <c r="H66" s="76"/>
      <c r="I66" s="74"/>
      <c r="J66" s="74"/>
      <c r="K66" s="77"/>
      <c r="L66" s="76"/>
      <c r="M66" s="74"/>
      <c r="N66" s="74"/>
      <c r="O66" s="77"/>
      <c r="P66" s="78"/>
      <c r="Q66" s="77"/>
      <c r="R66" s="77"/>
      <c r="S66" s="77"/>
    </row>
    <row r="67" spans="1:20" ht="18.75" customHeight="1">
      <c r="A67" s="70"/>
      <c r="B67" s="88" t="s">
        <v>71</v>
      </c>
      <c r="C67" s="50">
        <v>5</v>
      </c>
      <c r="D67" s="82">
        <f>D68/(D69-D70)</f>
        <v>9.3452019127400554</v>
      </c>
      <c r="E67" s="82">
        <f>E68/(E69-E70)</f>
        <v>5.0356845092797506</v>
      </c>
      <c r="F67" s="82">
        <f>F68/(F69-F70)</f>
        <v>8.8451287077010026</v>
      </c>
      <c r="G67" s="84">
        <f>G68/(G69-G70)</f>
        <v>5.4396793230032285</v>
      </c>
      <c r="H67" s="83">
        <f t="shared" ref="H67:K67" si="12">H68/(H69-H70)</f>
        <v>8.2126082837247765</v>
      </c>
      <c r="I67" s="82">
        <f t="shared" si="12"/>
        <v>13.102432180858177</v>
      </c>
      <c r="J67" s="82">
        <f>J68/(J69-J70)</f>
        <v>22.291038659807622</v>
      </c>
      <c r="K67" s="84">
        <f t="shared" si="12"/>
        <v>12.145525849560739</v>
      </c>
      <c r="L67" s="55">
        <f>H67/D67*100</f>
        <v>87.880479848474479</v>
      </c>
      <c r="M67" s="56">
        <f>I67/E67*100</f>
        <v>260.19168112523806</v>
      </c>
      <c r="N67" s="56">
        <f>J67/F67*100</f>
        <v>252.01485921171448</v>
      </c>
      <c r="O67" s="57">
        <f>K67/G67*100</f>
        <v>223.27650452113849</v>
      </c>
      <c r="P67" s="58">
        <f>C67*L67/100</f>
        <v>4.3940239924237234</v>
      </c>
      <c r="Q67" s="57">
        <f>M67*C67/100</f>
        <v>13.009584056261904</v>
      </c>
      <c r="R67" s="57">
        <f>N67*C67/100</f>
        <v>12.600742960585723</v>
      </c>
      <c r="S67" s="57">
        <f>O67*C67/100</f>
        <v>11.163825226056924</v>
      </c>
      <c r="T67" t="s">
        <v>14</v>
      </c>
    </row>
    <row r="68" spans="1:20" ht="27.75" customHeight="1">
      <c r="A68" s="70"/>
      <c r="B68" s="66" t="s">
        <v>72</v>
      </c>
      <c r="C68" s="61"/>
      <c r="D68" s="4">
        <v>12978551</v>
      </c>
      <c r="E68" s="4">
        <v>7024372</v>
      </c>
      <c r="F68" s="4">
        <v>9891932</v>
      </c>
      <c r="G68" s="8">
        <v>8058156</v>
      </c>
      <c r="H68" s="162">
        <v>12941732</v>
      </c>
      <c r="I68" s="180">
        <v>9797003</v>
      </c>
      <c r="J68" s="180">
        <v>12483851</v>
      </c>
      <c r="K68" s="181">
        <v>17268788</v>
      </c>
      <c r="L68" s="70"/>
      <c r="M68" s="60"/>
      <c r="N68" s="60"/>
      <c r="O68" s="63"/>
      <c r="P68" s="65"/>
      <c r="Q68" s="63"/>
      <c r="R68" s="63"/>
      <c r="S68" s="63"/>
    </row>
    <row r="69" spans="1:20" ht="27.75" customHeight="1">
      <c r="A69" s="70"/>
      <c r="B69" s="66" t="s">
        <v>57</v>
      </c>
      <c r="C69" s="61"/>
      <c r="D69" s="4">
        <v>2083793</v>
      </c>
      <c r="E69" s="4">
        <v>1729919</v>
      </c>
      <c r="F69" s="4">
        <v>1118348</v>
      </c>
      <c r="G69" s="8">
        <v>1481366</v>
      </c>
      <c r="H69" s="162">
        <v>2270837</v>
      </c>
      <c r="I69" s="180">
        <v>867724</v>
      </c>
      <c r="J69" s="180">
        <v>560039</v>
      </c>
      <c r="K69" s="181">
        <v>1421823</v>
      </c>
      <c r="L69" s="70"/>
      <c r="M69" s="60"/>
      <c r="N69" s="60"/>
      <c r="O69" s="63"/>
      <c r="P69" s="65"/>
      <c r="Q69" s="63"/>
      <c r="R69" s="63"/>
      <c r="S69" s="63"/>
    </row>
    <row r="70" spans="1:20" ht="25.5" customHeight="1">
      <c r="A70" s="70"/>
      <c r="B70" s="66" t="s">
        <v>73</v>
      </c>
      <c r="C70" s="61"/>
      <c r="D70" s="4">
        <v>695000</v>
      </c>
      <c r="E70" s="4">
        <v>335000</v>
      </c>
      <c r="F70" s="4">
        <v>0</v>
      </c>
      <c r="G70" s="8">
        <v>0</v>
      </c>
      <c r="H70" s="162">
        <v>695000</v>
      </c>
      <c r="I70" s="180">
        <v>120000</v>
      </c>
      <c r="J70" s="180">
        <v>0</v>
      </c>
      <c r="K70" s="181">
        <v>0</v>
      </c>
      <c r="L70" s="70"/>
      <c r="M70" s="60"/>
      <c r="N70" s="60"/>
      <c r="O70" s="63"/>
      <c r="P70" s="65"/>
      <c r="Q70" s="63"/>
      <c r="R70" s="63"/>
      <c r="S70" s="63"/>
    </row>
    <row r="71" spans="1:20" ht="15.75" customHeight="1">
      <c r="A71" s="73" t="s">
        <v>74</v>
      </c>
      <c r="B71" s="49" t="s">
        <v>75</v>
      </c>
      <c r="C71" s="53"/>
      <c r="D71" s="74"/>
      <c r="E71" s="74"/>
      <c r="F71" s="74"/>
      <c r="G71" s="77"/>
      <c r="H71" s="76"/>
      <c r="I71" s="74"/>
      <c r="J71" s="74"/>
      <c r="K71" s="77"/>
      <c r="L71" s="76"/>
      <c r="M71" s="74"/>
      <c r="N71" s="74"/>
      <c r="O71" s="77"/>
      <c r="P71" s="78"/>
      <c r="Q71" s="77"/>
      <c r="R71" s="77"/>
      <c r="S71" s="77"/>
    </row>
    <row r="72" spans="1:20" ht="16.5" customHeight="1">
      <c r="A72" s="70"/>
      <c r="B72" s="88" t="s">
        <v>76</v>
      </c>
      <c r="C72" s="50">
        <v>5</v>
      </c>
      <c r="D72" s="82">
        <v>1</v>
      </c>
      <c r="E72" s="82">
        <f>E73/E74</f>
        <v>983.35979302640089</v>
      </c>
      <c r="F72" s="82">
        <f>F73/F74</f>
        <v>603.17209585589558</v>
      </c>
      <c r="G72" s="84">
        <f>G73/G74</f>
        <v>403.40846375625654</v>
      </c>
      <c r="H72" s="76">
        <v>1</v>
      </c>
      <c r="I72" s="82">
        <f>I73/I74</f>
        <v>1737.3122533022611</v>
      </c>
      <c r="J72" s="82">
        <f>J73/J74</f>
        <v>983.33161530122811</v>
      </c>
      <c r="K72" s="82">
        <f>K73/K74</f>
        <v>602.39195285443441</v>
      </c>
      <c r="L72" s="55">
        <v>100</v>
      </c>
      <c r="M72" s="56">
        <f>I72/E72*100</f>
        <v>176.67106847591219</v>
      </c>
      <c r="N72" s="56">
        <f>J72/F72*100</f>
        <v>163.02670863874923</v>
      </c>
      <c r="O72" s="57">
        <f>K72/G72*100</f>
        <v>149.32556130463482</v>
      </c>
      <c r="P72" s="58">
        <f>C72*L72/100</f>
        <v>5</v>
      </c>
      <c r="Q72" s="57">
        <f>M72*C72/100</f>
        <v>8.8335534237956104</v>
      </c>
      <c r="R72" s="57">
        <f>N72*C72/100</f>
        <v>8.1513354319374614</v>
      </c>
      <c r="S72" s="57">
        <f>O72*C72/100</f>
        <v>7.4662780652317409</v>
      </c>
      <c r="T72" t="s">
        <v>14</v>
      </c>
    </row>
    <row r="73" spans="1:20" ht="39" customHeight="1">
      <c r="A73" s="70"/>
      <c r="B73" s="66" t="s">
        <v>77</v>
      </c>
      <c r="C73" s="61"/>
      <c r="D73" s="4"/>
      <c r="E73" s="4">
        <v>1850</v>
      </c>
      <c r="F73" s="4">
        <v>1850</v>
      </c>
      <c r="G73" s="8">
        <v>1850</v>
      </c>
      <c r="H73" s="70"/>
      <c r="I73" s="180">
        <v>1850</v>
      </c>
      <c r="J73" s="180">
        <v>1850</v>
      </c>
      <c r="K73" s="63">
        <v>1850</v>
      </c>
      <c r="L73" s="70"/>
      <c r="M73" s="60"/>
      <c r="N73" s="60"/>
      <c r="O73" s="63"/>
      <c r="P73" s="65"/>
      <c r="Q73" s="63"/>
      <c r="R73" s="63"/>
      <c r="S73" s="63"/>
    </row>
    <row r="74" spans="1:20" ht="25.5" customHeight="1">
      <c r="A74" s="70"/>
      <c r="B74" s="66" t="s">
        <v>78</v>
      </c>
      <c r="C74" s="61"/>
      <c r="D74" s="19">
        <f>D76/D78</f>
        <v>0.98619847093088386</v>
      </c>
      <c r="E74" s="19">
        <f>E76/E78</f>
        <v>1.8813053097345134</v>
      </c>
      <c r="F74" s="19">
        <f>F76/F78</f>
        <v>3.0671180127702478</v>
      </c>
      <c r="G74" s="161">
        <f>G76/G78</f>
        <v>4.5859226223815392</v>
      </c>
      <c r="H74" s="70"/>
      <c r="I74" s="195">
        <f>I76/I78</f>
        <v>1.0648632659348045</v>
      </c>
      <c r="J74" s="195">
        <f>J76/J78</f>
        <v>1.8813592192225832</v>
      </c>
      <c r="K74" s="195">
        <f>K76/K78</f>
        <v>3.0710901618684887</v>
      </c>
      <c r="L74" s="70"/>
      <c r="M74" s="60"/>
      <c r="N74" s="60"/>
      <c r="O74" s="63"/>
      <c r="P74" s="65"/>
      <c r="Q74" s="63"/>
      <c r="R74" s="63"/>
      <c r="S74" s="63"/>
    </row>
    <row r="75" spans="1:20" ht="18" customHeight="1">
      <c r="A75" s="70"/>
      <c r="B75" s="66" t="s">
        <v>141</v>
      </c>
      <c r="C75" s="61"/>
      <c r="D75" s="7"/>
      <c r="E75" s="7"/>
      <c r="F75" s="7"/>
      <c r="G75" s="134"/>
      <c r="H75" s="70"/>
      <c r="I75" s="180"/>
      <c r="J75" s="195"/>
      <c r="K75" s="100"/>
      <c r="L75" s="70"/>
      <c r="M75" s="60"/>
      <c r="N75" s="60"/>
      <c r="O75" s="63"/>
      <c r="P75" s="65"/>
      <c r="Q75" s="63"/>
      <c r="R75" s="63"/>
      <c r="S75" s="63"/>
    </row>
    <row r="76" spans="1:20" ht="40.5" customHeight="1">
      <c r="A76" s="70"/>
      <c r="B76" s="66" t="s">
        <v>79</v>
      </c>
      <c r="C76" s="61"/>
      <c r="D76" s="182">
        <v>1408607</v>
      </c>
      <c r="E76" s="182">
        <f>D76+1278499</f>
        <v>2687106</v>
      </c>
      <c r="F76" s="182">
        <f>E76+1693720</f>
        <v>4380826</v>
      </c>
      <c r="G76" s="183">
        <f>F76+2169339</f>
        <v>6550165</v>
      </c>
      <c r="H76" s="162">
        <v>1542956</v>
      </c>
      <c r="I76" s="180">
        <v>3041931</v>
      </c>
      <c r="J76" s="180">
        <f>J36</f>
        <v>5374366</v>
      </c>
      <c r="K76" s="63">
        <v>8772999</v>
      </c>
      <c r="L76" s="70"/>
      <c r="M76" s="60"/>
      <c r="N76" s="60"/>
      <c r="O76" s="63"/>
      <c r="P76" s="65"/>
      <c r="Q76" s="63"/>
      <c r="R76" s="63"/>
      <c r="S76" s="63"/>
    </row>
    <row r="77" spans="1:20" ht="38.25" customHeight="1">
      <c r="A77" s="70"/>
      <c r="B77" s="66" t="s">
        <v>80</v>
      </c>
      <c r="C77" s="61"/>
      <c r="D77" s="4">
        <v>0</v>
      </c>
      <c r="E77" s="4">
        <v>0</v>
      </c>
      <c r="F77" s="4">
        <v>0</v>
      </c>
      <c r="G77" s="8">
        <v>0</v>
      </c>
      <c r="H77" s="162"/>
      <c r="I77" s="180"/>
      <c r="J77" s="180"/>
      <c r="K77" s="63"/>
      <c r="L77" s="70"/>
      <c r="M77" s="60"/>
      <c r="N77" s="60"/>
      <c r="O77" s="63"/>
      <c r="P77" s="65"/>
      <c r="Q77" s="63"/>
      <c r="R77" s="63"/>
      <c r="S77" s="63"/>
    </row>
    <row r="78" spans="1:20" ht="49.5" customHeight="1">
      <c r="A78" s="70"/>
      <c r="B78" s="66" t="s">
        <v>81</v>
      </c>
      <c r="C78" s="61"/>
      <c r="D78" s="4">
        <v>1428320</v>
      </c>
      <c r="E78" s="4">
        <v>1428320</v>
      </c>
      <c r="F78" s="4">
        <v>1428320</v>
      </c>
      <c r="G78" s="8">
        <v>1428320</v>
      </c>
      <c r="H78" s="162">
        <v>1428320</v>
      </c>
      <c r="I78" s="180">
        <v>2856640</v>
      </c>
      <c r="J78" s="180">
        <v>2856640</v>
      </c>
      <c r="K78" s="63">
        <v>2856640</v>
      </c>
      <c r="L78" s="70"/>
      <c r="M78" s="60"/>
      <c r="N78" s="60"/>
      <c r="O78" s="63"/>
      <c r="P78" s="65"/>
      <c r="Q78" s="63"/>
      <c r="R78" s="63"/>
      <c r="S78" s="63"/>
    </row>
    <row r="79" spans="1:20" ht="39.75" customHeight="1">
      <c r="A79" s="73" t="s">
        <v>82</v>
      </c>
      <c r="B79" s="88" t="s">
        <v>83</v>
      </c>
      <c r="C79" s="56">
        <v>5</v>
      </c>
      <c r="D79" s="74">
        <v>1.03</v>
      </c>
      <c r="E79" s="74">
        <v>1.03</v>
      </c>
      <c r="F79" s="74">
        <v>1.03</v>
      </c>
      <c r="G79" s="74">
        <v>1.03</v>
      </c>
      <c r="H79" s="83">
        <v>1.27</v>
      </c>
      <c r="I79" s="90">
        <f>E80/I80</f>
        <v>0.87338069716861333</v>
      </c>
      <c r="J79" s="90">
        <f>F80/J80</f>
        <v>0.74046335031203825</v>
      </c>
      <c r="K79" s="90">
        <f>G80/K80</f>
        <v>0.19357532077428163</v>
      </c>
      <c r="L79" s="55">
        <f>H79/D79*100</f>
        <v>123.3009708737864</v>
      </c>
      <c r="M79" s="56">
        <f>I79/E79*100</f>
        <v>84.794242443554694</v>
      </c>
      <c r="N79" s="56">
        <f>J79/F79*100</f>
        <v>71.889645661362934</v>
      </c>
      <c r="O79" s="57">
        <f>K79/G79*100</f>
        <v>18.793720463522487</v>
      </c>
      <c r="P79" s="58">
        <f>C79*L79/100</f>
        <v>6.1650485436893199</v>
      </c>
      <c r="Q79" s="57">
        <f>M79*C79/100</f>
        <v>4.2397121221777345</v>
      </c>
      <c r="R79" s="57">
        <f>N79*C79/100</f>
        <v>3.5944822830681464</v>
      </c>
      <c r="S79" s="57">
        <f>O79*C79/100</f>
        <v>0.93968602317612437</v>
      </c>
      <c r="T79" t="s">
        <v>14</v>
      </c>
    </row>
    <row r="80" spans="1:20" ht="52.5" customHeight="1">
      <c r="A80" s="70"/>
      <c r="B80" s="66" t="s">
        <v>84</v>
      </c>
      <c r="C80" s="61"/>
      <c r="D80" s="4">
        <v>2232308</v>
      </c>
      <c r="E80" s="4">
        <v>1154087</v>
      </c>
      <c r="F80" s="4">
        <v>1187681</v>
      </c>
      <c r="G80" s="8">
        <v>1261222</v>
      </c>
      <c r="H80" s="70">
        <f>H65</f>
        <v>1752038</v>
      </c>
      <c r="I80" s="60">
        <v>1321402</v>
      </c>
      <c r="J80" s="60">
        <v>1603970</v>
      </c>
      <c r="K80" s="63">
        <v>6515407</v>
      </c>
      <c r="L80" s="70"/>
      <c r="M80" s="60"/>
      <c r="N80" s="60"/>
      <c r="O80" s="63"/>
      <c r="P80" s="65"/>
      <c r="Q80" s="63"/>
      <c r="R80" s="63"/>
      <c r="S80" s="63"/>
    </row>
    <row r="81" spans="1:19" ht="19.5" customHeight="1" thickBot="1">
      <c r="A81" s="101"/>
      <c r="B81" s="102" t="s">
        <v>85</v>
      </c>
      <c r="C81" s="103">
        <v>99.999825000000016</v>
      </c>
      <c r="D81" s="104"/>
      <c r="E81" s="104"/>
      <c r="F81" s="104"/>
      <c r="G81" s="105"/>
      <c r="H81" s="101"/>
      <c r="I81" s="104"/>
      <c r="J81" s="104"/>
      <c r="K81" s="105"/>
      <c r="L81" s="101"/>
      <c r="M81" s="104"/>
      <c r="N81" s="104"/>
      <c r="O81" s="105"/>
      <c r="P81" s="106">
        <f>SUM(P8:P80)</f>
        <v>109.7200487632867</v>
      </c>
      <c r="Q81" s="107">
        <f>SUM(Q8:Q80)</f>
        <v>124.01287038692051</v>
      </c>
      <c r="R81" s="107">
        <f>SUM(R8:R80)</f>
        <v>123.36058408787412</v>
      </c>
      <c r="S81" s="107">
        <f>SUM(S8:S80)</f>
        <v>109.04328202900716</v>
      </c>
    </row>
    <row r="83" spans="1:19" ht="15">
      <c r="B83" s="20"/>
      <c r="C83" s="2"/>
      <c r="D83" s="2"/>
    </row>
    <row r="84" spans="1:19" ht="15.75">
      <c r="B84" s="219" t="s">
        <v>86</v>
      </c>
      <c r="C84" s="219"/>
      <c r="D84" s="1" t="s">
        <v>87</v>
      </c>
      <c r="E84" s="21"/>
    </row>
    <row r="85" spans="1:19" ht="15.75">
      <c r="B85" s="1"/>
      <c r="C85" s="21"/>
      <c r="D85" s="21"/>
      <c r="E85" s="21"/>
    </row>
    <row r="86" spans="1:19" ht="15.75">
      <c r="B86" s="1" t="s">
        <v>88</v>
      </c>
      <c r="C86" s="21"/>
      <c r="D86" s="1" t="s">
        <v>89</v>
      </c>
      <c r="E86" s="1"/>
    </row>
  </sheetData>
  <mergeCells count="15">
    <mergeCell ref="A1:P1"/>
    <mergeCell ref="A4:A6"/>
    <mergeCell ref="B4:B6"/>
    <mergeCell ref="C4:C6"/>
    <mergeCell ref="D4:G4"/>
    <mergeCell ref="H4:K4"/>
    <mergeCell ref="L4:O4"/>
    <mergeCell ref="P4:P6"/>
    <mergeCell ref="B84:C84"/>
    <mergeCell ref="Q4:Q6"/>
    <mergeCell ref="R4:R6"/>
    <mergeCell ref="S4:S6"/>
    <mergeCell ref="D5:G5"/>
    <mergeCell ref="H5:K5"/>
    <mergeCell ref="L5:O5"/>
  </mergeCells>
  <pageMargins left="0.27559055118110237" right="0.15748031496062992" top="0.35433070866141736" bottom="0.31496062992125984" header="0.31496062992125984" footer="0.19685039370078741"/>
  <pageSetup paperSize="9" scale="8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D719A5"/>
  </sheetPr>
  <dimension ref="A1:T47"/>
  <sheetViews>
    <sheetView topLeftCell="A36" zoomScale="90" zoomScaleNormal="90" workbookViewId="0">
      <selection activeCell="K28" sqref="K28"/>
    </sheetView>
  </sheetViews>
  <sheetFormatPr defaultRowHeight="12.75"/>
  <cols>
    <col min="1" max="1" width="4" customWidth="1"/>
    <col min="2" max="2" width="32.85546875" customWidth="1"/>
    <col min="3" max="3" width="7.28515625" customWidth="1"/>
    <col min="4" max="4" width="11.5703125" customWidth="1"/>
    <col min="5" max="5" width="11.140625" customWidth="1"/>
    <col min="6" max="6" width="11.28515625" customWidth="1"/>
    <col min="7" max="7" width="11.140625" customWidth="1"/>
    <col min="8" max="8" width="12" customWidth="1"/>
    <col min="9" max="9" width="12" bestFit="1" customWidth="1"/>
    <col min="10" max="10" width="11.28515625" customWidth="1"/>
    <col min="11" max="11" width="11.5703125" customWidth="1"/>
    <col min="12" max="12" width="10.140625" customWidth="1"/>
    <col min="13" max="13" width="10.5703125" customWidth="1"/>
    <col min="14" max="14" width="9.140625" customWidth="1"/>
    <col min="15" max="15" width="9.42578125" customWidth="1"/>
    <col min="16" max="16" width="10.28515625" customWidth="1"/>
    <col min="17" max="17" width="11.7109375" customWidth="1"/>
    <col min="18" max="19" width="10.7109375" bestFit="1" customWidth="1"/>
  </cols>
  <sheetData>
    <row r="1" spans="1:20" ht="14.25">
      <c r="A1" s="254"/>
      <c r="B1" s="254"/>
      <c r="C1" s="254"/>
      <c r="D1" s="254"/>
      <c r="E1" s="254"/>
      <c r="F1" s="254"/>
      <c r="G1" s="254"/>
    </row>
    <row r="2" spans="1:20" ht="15.75">
      <c r="A2" s="255" t="s">
        <v>134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</row>
    <row r="3" spans="1:20" ht="15.75">
      <c r="A3" s="256" t="s">
        <v>158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</row>
    <row r="4" spans="1:20" ht="13.5" thickBot="1"/>
    <row r="5" spans="1:20">
      <c r="A5" s="229" t="s">
        <v>4</v>
      </c>
      <c r="B5" s="259" t="s">
        <v>5</v>
      </c>
      <c r="C5" s="262" t="s">
        <v>6</v>
      </c>
      <c r="D5" s="263" t="s">
        <v>143</v>
      </c>
      <c r="E5" s="236"/>
      <c r="F5" s="236"/>
      <c r="G5" s="238"/>
      <c r="H5" s="239" t="s">
        <v>144</v>
      </c>
      <c r="I5" s="240"/>
      <c r="J5" s="240"/>
      <c r="K5" s="241"/>
      <c r="L5" s="239" t="s">
        <v>7</v>
      </c>
      <c r="M5" s="240"/>
      <c r="N5" s="240"/>
      <c r="O5" s="241"/>
      <c r="P5" s="264" t="s">
        <v>162</v>
      </c>
      <c r="Q5" s="245" t="s">
        <v>163</v>
      </c>
      <c r="R5" s="248" t="s">
        <v>164</v>
      </c>
      <c r="S5" s="251" t="s">
        <v>165</v>
      </c>
    </row>
    <row r="6" spans="1:20">
      <c r="A6" s="257"/>
      <c r="B6" s="260"/>
      <c r="C6" s="260"/>
      <c r="D6" s="224" t="s">
        <v>142</v>
      </c>
      <c r="E6" s="226"/>
      <c r="F6" s="226"/>
      <c r="G6" s="226"/>
      <c r="H6" s="225" t="s">
        <v>135</v>
      </c>
      <c r="I6" s="226"/>
      <c r="J6" s="226"/>
      <c r="K6" s="227"/>
      <c r="L6" s="225" t="s">
        <v>135</v>
      </c>
      <c r="M6" s="226"/>
      <c r="N6" s="226"/>
      <c r="O6" s="227"/>
      <c r="P6" s="265"/>
      <c r="Q6" s="246"/>
      <c r="R6" s="249"/>
      <c r="S6" s="252"/>
    </row>
    <row r="7" spans="1:20" ht="38.25">
      <c r="A7" s="258"/>
      <c r="B7" s="261"/>
      <c r="C7" s="261"/>
      <c r="D7" s="175" t="s">
        <v>159</v>
      </c>
      <c r="E7" s="175" t="s">
        <v>150</v>
      </c>
      <c r="F7" s="175" t="s">
        <v>151</v>
      </c>
      <c r="G7" s="39" t="s">
        <v>152</v>
      </c>
      <c r="H7" s="109" t="s">
        <v>159</v>
      </c>
      <c r="I7" s="175" t="s">
        <v>150</v>
      </c>
      <c r="J7" s="175" t="s">
        <v>151</v>
      </c>
      <c r="K7" s="40" t="s">
        <v>152</v>
      </c>
      <c r="L7" s="109" t="s">
        <v>159</v>
      </c>
      <c r="M7" s="175" t="s">
        <v>150</v>
      </c>
      <c r="N7" s="175" t="s">
        <v>160</v>
      </c>
      <c r="O7" s="47" t="s">
        <v>161</v>
      </c>
      <c r="P7" s="266"/>
      <c r="Q7" s="247"/>
      <c r="R7" s="250"/>
      <c r="S7" s="253"/>
    </row>
    <row r="8" spans="1:20">
      <c r="A8" s="176"/>
      <c r="B8" s="177"/>
      <c r="C8" s="41" t="s">
        <v>8</v>
      </c>
      <c r="D8" s="42" t="s">
        <v>9</v>
      </c>
      <c r="E8" s="42" t="s">
        <v>9</v>
      </c>
      <c r="F8" s="42" t="s">
        <v>9</v>
      </c>
      <c r="G8" s="43" t="s">
        <v>9</v>
      </c>
      <c r="H8" s="44" t="s">
        <v>10</v>
      </c>
      <c r="I8" s="42" t="s">
        <v>10</v>
      </c>
      <c r="J8" s="42" t="s">
        <v>10</v>
      </c>
      <c r="K8" s="45" t="s">
        <v>10</v>
      </c>
      <c r="L8" s="44" t="s">
        <v>11</v>
      </c>
      <c r="M8" s="42" t="s">
        <v>11</v>
      </c>
      <c r="N8" s="42" t="s">
        <v>11</v>
      </c>
      <c r="O8" s="45" t="s">
        <v>11</v>
      </c>
      <c r="P8" s="110"/>
      <c r="Q8" s="111"/>
      <c r="R8" s="112"/>
      <c r="S8" s="113"/>
    </row>
    <row r="9" spans="1:20" ht="51">
      <c r="A9" s="73" t="s">
        <v>12</v>
      </c>
      <c r="B9" s="49" t="s">
        <v>95</v>
      </c>
      <c r="C9" s="74"/>
      <c r="D9" s="53"/>
      <c r="E9" s="53"/>
      <c r="F9" s="53"/>
      <c r="G9" s="114"/>
      <c r="H9" s="76"/>
      <c r="I9" s="74"/>
      <c r="J9" s="74"/>
      <c r="K9" s="77"/>
      <c r="L9" s="76"/>
      <c r="M9" s="74"/>
      <c r="N9" s="74"/>
      <c r="O9" s="77"/>
      <c r="P9" s="78"/>
      <c r="Q9" s="77"/>
      <c r="R9" s="75"/>
      <c r="S9" s="115"/>
    </row>
    <row r="10" spans="1:20" ht="15">
      <c r="A10" s="59"/>
      <c r="B10" s="116" t="s">
        <v>96</v>
      </c>
      <c r="C10" s="50">
        <v>20</v>
      </c>
      <c r="D10" s="82">
        <f>D11/D12</f>
        <v>0.56391338517085887</v>
      </c>
      <c r="E10" s="82">
        <f>E11/E12</f>
        <v>0.32233671239321948</v>
      </c>
      <c r="F10" s="82">
        <f>F11/F12</f>
        <v>0.31974321783735354</v>
      </c>
      <c r="G10" s="84">
        <f>G11/G12</f>
        <v>0.31970186208795337</v>
      </c>
      <c r="H10" s="69">
        <f>H11/H12</f>
        <v>0.55758448736505906</v>
      </c>
      <c r="I10" s="50">
        <f t="shared" ref="I10:K10" si="0">I11/I12</f>
        <v>0.57333035274293354</v>
      </c>
      <c r="J10" s="50">
        <f t="shared" si="0"/>
        <v>0.58682287215210827</v>
      </c>
      <c r="K10" s="80">
        <f t="shared" si="0"/>
        <v>0.60990576911573102</v>
      </c>
      <c r="L10" s="69">
        <f>D10/H10*100</f>
        <v>101.13505629177524</v>
      </c>
      <c r="M10" s="56">
        <f>E10/I10*100</f>
        <v>56.221811884037287</v>
      </c>
      <c r="N10" s="56">
        <f>F10/J10*100</f>
        <v>54.487177138261586</v>
      </c>
      <c r="O10" s="57">
        <f>G10/K10*100</f>
        <v>52.418238730791408</v>
      </c>
      <c r="P10" s="58">
        <f>L10*C10/100</f>
        <v>20.227011258355049</v>
      </c>
      <c r="Q10" s="57">
        <f>M10*C10/100</f>
        <v>11.244362376807457</v>
      </c>
      <c r="R10" s="117">
        <f>N10*C10/100</f>
        <v>10.897435427652317</v>
      </c>
      <c r="S10" s="118">
        <f>O10*C10/100</f>
        <v>10.483647746158281</v>
      </c>
      <c r="T10" t="s">
        <v>28</v>
      </c>
    </row>
    <row r="11" spans="1:20" ht="38.25">
      <c r="A11" s="59"/>
      <c r="B11" s="66" t="s">
        <v>97</v>
      </c>
      <c r="C11" s="155"/>
      <c r="D11" s="4">
        <v>14805101</v>
      </c>
      <c r="E11" s="4">
        <v>8743129</v>
      </c>
      <c r="F11" s="4">
        <v>8911992</v>
      </c>
      <c r="G11" s="8">
        <v>10451817</v>
      </c>
      <c r="H11" s="162">
        <v>14719858</v>
      </c>
      <c r="I11" s="180">
        <v>15342205</v>
      </c>
      <c r="J11" s="180">
        <v>16034854</v>
      </c>
      <c r="K11" s="181">
        <v>16720957</v>
      </c>
      <c r="L11" s="70"/>
      <c r="M11" s="60"/>
      <c r="N11" s="60"/>
      <c r="O11" s="63"/>
      <c r="P11" s="65"/>
      <c r="Q11" s="63"/>
      <c r="R11" s="97"/>
      <c r="S11" s="113"/>
    </row>
    <row r="12" spans="1:20" ht="38.25">
      <c r="A12" s="59"/>
      <c r="B12" s="119" t="s">
        <v>98</v>
      </c>
      <c r="C12" s="155"/>
      <c r="D12" s="4">
        <v>26254211</v>
      </c>
      <c r="E12" s="4">
        <v>27124211</v>
      </c>
      <c r="F12" s="4">
        <v>27872341</v>
      </c>
      <c r="G12" s="8">
        <v>32692387</v>
      </c>
      <c r="H12" s="162">
        <v>26399332</v>
      </c>
      <c r="I12" s="180">
        <v>26759799</v>
      </c>
      <c r="J12" s="180">
        <v>27324862</v>
      </c>
      <c r="K12" s="181">
        <v>27415640</v>
      </c>
      <c r="L12" s="70"/>
      <c r="M12" s="60"/>
      <c r="N12" s="60"/>
      <c r="O12" s="63"/>
      <c r="P12" s="65"/>
      <c r="Q12" s="63"/>
      <c r="R12" s="97"/>
      <c r="S12" s="113"/>
    </row>
    <row r="13" spans="1:20" ht="25.5">
      <c r="A13" s="12" t="s">
        <v>26</v>
      </c>
      <c r="B13" s="13" t="s">
        <v>99</v>
      </c>
      <c r="C13" s="50"/>
      <c r="D13" s="56"/>
      <c r="E13" s="56"/>
      <c r="F13" s="56"/>
      <c r="G13" s="57"/>
      <c r="H13" s="76"/>
      <c r="I13" s="74"/>
      <c r="J13" s="74"/>
      <c r="K13" s="77"/>
      <c r="L13" s="76"/>
      <c r="M13" s="74"/>
      <c r="N13" s="74"/>
      <c r="O13" s="77"/>
      <c r="P13" s="78"/>
      <c r="Q13" s="77"/>
      <c r="R13" s="75"/>
      <c r="S13" s="115"/>
    </row>
    <row r="14" spans="1:20" ht="15">
      <c r="A14" s="12"/>
      <c r="B14" s="120" t="s">
        <v>100</v>
      </c>
      <c r="C14" s="50">
        <v>10</v>
      </c>
      <c r="D14" s="50">
        <f>D15/D16</f>
        <v>1.9384912888425389E-2</v>
      </c>
      <c r="E14" s="50">
        <f>E15/E16</f>
        <v>5.9405643258650387E-2</v>
      </c>
      <c r="F14" s="50">
        <f>F15/F16</f>
        <v>9.7048319100033448E-2</v>
      </c>
      <c r="G14" s="80">
        <f>G15/G16</f>
        <v>0.12360497055606039</v>
      </c>
      <c r="H14" s="121">
        <f t="shared" ref="H14:K14" si="1">H15/H16</f>
        <v>3.8442484652990369E-2</v>
      </c>
      <c r="I14" s="50">
        <f t="shared" si="1"/>
        <v>7.762169507866544E-2</v>
      </c>
      <c r="J14" s="50">
        <f>J15/J16</f>
        <v>0.12906470297009534</v>
      </c>
      <c r="K14" s="122">
        <f t="shared" si="1"/>
        <v>0.14657750959051336</v>
      </c>
      <c r="L14" s="55">
        <f>H14/D14*100</f>
        <v>198.31136138839261</v>
      </c>
      <c r="M14" s="56">
        <f>I14/E14*100</f>
        <v>130.66384070735992</v>
      </c>
      <c r="N14" s="56">
        <f>J14/F14*100</f>
        <v>132.99014776037566</v>
      </c>
      <c r="O14" s="54">
        <f>K14/G14*100</f>
        <v>118.58544921867353</v>
      </c>
      <c r="P14" s="58">
        <f>L14*C14/100</f>
        <v>19.831136138839259</v>
      </c>
      <c r="Q14" s="57">
        <f>M14*C14/100</f>
        <v>13.066384070735992</v>
      </c>
      <c r="R14" s="117">
        <f>N14*C14/100</f>
        <v>13.299014776037566</v>
      </c>
      <c r="S14" s="118">
        <f>O14*C14/100</f>
        <v>11.858544921867354</v>
      </c>
      <c r="T14" t="s">
        <v>14</v>
      </c>
    </row>
    <row r="15" spans="1:20" ht="89.25">
      <c r="A15" s="3"/>
      <c r="B15" s="10" t="s">
        <v>101</v>
      </c>
      <c r="C15" s="14"/>
      <c r="D15" s="4">
        <v>221940</v>
      </c>
      <c r="E15" s="4">
        <f>D15+870000</f>
        <v>1091940</v>
      </c>
      <c r="F15" s="4">
        <f>E15+748130</f>
        <v>1840070</v>
      </c>
      <c r="G15" s="8">
        <f>F15+908975</f>
        <v>2749045</v>
      </c>
      <c r="H15" s="171">
        <v>448988</v>
      </c>
      <c r="I15" s="180">
        <v>886253</v>
      </c>
      <c r="J15" s="180">
        <v>1457141.52905</v>
      </c>
      <c r="K15" s="181">
        <v>1567600</v>
      </c>
      <c r="L15" s="70"/>
      <c r="M15" s="60"/>
      <c r="N15" s="60"/>
      <c r="O15" s="63"/>
      <c r="P15" s="65"/>
      <c r="Q15" s="63"/>
      <c r="R15" s="97"/>
      <c r="S15" s="113"/>
    </row>
    <row r="16" spans="1:20" ht="89.25">
      <c r="A16" s="16"/>
      <c r="B16" s="13" t="s">
        <v>102</v>
      </c>
      <c r="C16" s="14"/>
      <c r="D16" s="4">
        <f t="shared" ref="D16:H16" si="2">D12-D11</f>
        <v>11449110</v>
      </c>
      <c r="E16" s="4">
        <f t="shared" si="2"/>
        <v>18381082</v>
      </c>
      <c r="F16" s="4">
        <f t="shared" si="2"/>
        <v>18960349</v>
      </c>
      <c r="G16" s="8">
        <f t="shared" si="2"/>
        <v>22240570</v>
      </c>
      <c r="H16" s="154">
        <f t="shared" si="2"/>
        <v>11679474</v>
      </c>
      <c r="I16" s="180">
        <f>I12-I11</f>
        <v>11417594</v>
      </c>
      <c r="J16" s="180">
        <f>J12-J11</f>
        <v>11290008</v>
      </c>
      <c r="K16" s="180">
        <f>K12-K11</f>
        <v>10694683</v>
      </c>
      <c r="L16" s="70"/>
      <c r="M16" s="60"/>
      <c r="N16" s="60"/>
      <c r="O16" s="63"/>
      <c r="P16" s="65"/>
      <c r="Q16" s="63"/>
      <c r="R16" s="97"/>
      <c r="S16" s="113"/>
    </row>
    <row r="17" spans="1:20">
      <c r="A17" s="73" t="s">
        <v>33</v>
      </c>
      <c r="B17" s="49" t="s">
        <v>103</v>
      </c>
      <c r="C17" s="50"/>
      <c r="D17" s="74"/>
      <c r="E17" s="74"/>
      <c r="F17" s="74"/>
      <c r="G17" s="77"/>
      <c r="H17" s="96"/>
      <c r="I17" s="53"/>
      <c r="J17" s="53"/>
      <c r="K17" s="54"/>
      <c r="L17" s="96"/>
      <c r="M17" s="53"/>
      <c r="N17" s="53"/>
      <c r="O17" s="54"/>
      <c r="P17" s="123"/>
      <c r="Q17" s="54"/>
      <c r="R17" s="114"/>
      <c r="S17" s="124"/>
    </row>
    <row r="18" spans="1:20" ht="15">
      <c r="A18" s="70"/>
      <c r="B18" s="125" t="s">
        <v>104</v>
      </c>
      <c r="C18" s="50">
        <v>20</v>
      </c>
      <c r="D18" s="126">
        <f>D19/D20</f>
        <v>49266.970822281168</v>
      </c>
      <c r="E18" s="126">
        <f>E19/E20</f>
        <v>97815.535809018562</v>
      </c>
      <c r="F18" s="126">
        <f>F19/F20</f>
        <v>144119.67374005305</v>
      </c>
      <c r="G18" s="156">
        <f>G19/G20</f>
        <v>205311.18302387267</v>
      </c>
      <c r="H18" s="52">
        <f t="shared" ref="H18:J18" si="3">H19/H20</f>
        <v>53509.594164456234</v>
      </c>
      <c r="I18" s="51">
        <f t="shared" si="3"/>
        <v>100786.57622739018</v>
      </c>
      <c r="J18" s="51">
        <f t="shared" si="3"/>
        <v>161540.85941644563</v>
      </c>
      <c r="K18" s="51">
        <f>K19/K20</f>
        <v>254049.87765957447</v>
      </c>
      <c r="L18" s="55">
        <f>H18/D18*100</f>
        <v>108.61149624457187</v>
      </c>
      <c r="M18" s="56">
        <f>I18/E18*100</f>
        <v>103.03739114016864</v>
      </c>
      <c r="N18" s="56">
        <f>J18/F18*100</f>
        <v>112.08799966326247</v>
      </c>
      <c r="O18" s="57">
        <f>K18/G18*100</f>
        <v>123.73893809283378</v>
      </c>
      <c r="P18" s="58">
        <f>C18*L18/100</f>
        <v>21.722299248914375</v>
      </c>
      <c r="Q18" s="57">
        <f>M18*C18/100</f>
        <v>20.607478228033727</v>
      </c>
      <c r="R18" s="117">
        <f>N18*C18/100</f>
        <v>22.417599932652493</v>
      </c>
      <c r="S18" s="118">
        <f>O18*C18/100</f>
        <v>24.747787618566754</v>
      </c>
      <c r="T18" t="s">
        <v>14</v>
      </c>
    </row>
    <row r="19" spans="1:20" ht="63.75">
      <c r="A19" s="70"/>
      <c r="B19" s="66" t="s">
        <v>105</v>
      </c>
      <c r="C19" s="155"/>
      <c r="D19" s="5">
        <v>18573648</v>
      </c>
      <c r="E19" s="5">
        <f>D19+18302809</f>
        <v>36876457</v>
      </c>
      <c r="F19" s="5">
        <f>E19+17456660</f>
        <v>54333117</v>
      </c>
      <c r="G19" s="71">
        <f>F19+23069199</f>
        <v>77402316</v>
      </c>
      <c r="H19" s="165">
        <v>20173117</v>
      </c>
      <c r="I19" s="60">
        <v>39004405</v>
      </c>
      <c r="J19" s="180">
        <v>60900904</v>
      </c>
      <c r="K19" s="181">
        <v>95522754</v>
      </c>
      <c r="L19" s="70"/>
      <c r="M19" s="60"/>
      <c r="N19" s="60"/>
      <c r="O19" s="63"/>
      <c r="P19" s="65"/>
      <c r="Q19" s="63"/>
      <c r="R19" s="97"/>
      <c r="S19" s="113"/>
    </row>
    <row r="20" spans="1:20" ht="38.25">
      <c r="A20" s="70"/>
      <c r="B20" s="87" t="s">
        <v>106</v>
      </c>
      <c r="C20" s="155"/>
      <c r="D20" s="128">
        <v>377</v>
      </c>
      <c r="E20" s="128">
        <v>377</v>
      </c>
      <c r="F20" s="128">
        <v>377</v>
      </c>
      <c r="G20" s="128">
        <v>377</v>
      </c>
      <c r="H20" s="162">
        <v>377</v>
      </c>
      <c r="I20" s="60">
        <v>387</v>
      </c>
      <c r="J20" s="4">
        <v>377</v>
      </c>
      <c r="K20" s="181">
        <v>376</v>
      </c>
      <c r="L20" s="70"/>
      <c r="M20" s="60"/>
      <c r="N20" s="60"/>
      <c r="O20" s="63"/>
      <c r="P20" s="65"/>
      <c r="Q20" s="63"/>
      <c r="R20" s="97"/>
      <c r="S20" s="113"/>
    </row>
    <row r="21" spans="1:20">
      <c r="A21" s="73" t="s">
        <v>37</v>
      </c>
      <c r="B21" s="49" t="s">
        <v>107</v>
      </c>
      <c r="C21" s="50"/>
      <c r="D21" s="129"/>
      <c r="E21" s="129"/>
      <c r="F21" s="129"/>
      <c r="G21" s="157"/>
      <c r="H21" s="76"/>
      <c r="I21" s="74"/>
      <c r="J21" s="74"/>
      <c r="K21" s="77"/>
      <c r="L21" s="76"/>
      <c r="M21" s="74"/>
      <c r="N21" s="74"/>
      <c r="O21" s="77"/>
      <c r="P21" s="78"/>
      <c r="Q21" s="77"/>
      <c r="R21" s="75"/>
      <c r="S21" s="115"/>
    </row>
    <row r="22" spans="1:20" ht="15">
      <c r="A22" s="70"/>
      <c r="B22" s="125" t="s">
        <v>108</v>
      </c>
      <c r="C22" s="50">
        <v>10</v>
      </c>
      <c r="D22" s="130">
        <f>D23/D24</f>
        <v>1.5896914421814738</v>
      </c>
      <c r="E22" s="130">
        <f>E23/E24</f>
        <v>2.4341228292690205</v>
      </c>
      <c r="F22" s="130">
        <f>F23/F24</f>
        <v>3.5191149748988408</v>
      </c>
      <c r="G22" s="158">
        <f>G23/G24</f>
        <v>4.5318743710675529</v>
      </c>
      <c r="H22" s="69">
        <f t="shared" ref="H22:K22" si="4">H23/H24</f>
        <v>1.7097326728586661</v>
      </c>
      <c r="I22" s="50">
        <f t="shared" si="4"/>
        <v>3.3428386356622259</v>
      </c>
      <c r="J22" s="50">
        <f t="shared" si="4"/>
        <v>5.2481524020152603</v>
      </c>
      <c r="K22" s="50">
        <f t="shared" si="4"/>
        <v>8.448411451247452</v>
      </c>
      <c r="L22" s="55">
        <f>H22/D22*100</f>
        <v>107.55122833852991</v>
      </c>
      <c r="M22" s="56">
        <f>I22/E22*100</f>
        <v>137.33237269156618</v>
      </c>
      <c r="N22" s="56">
        <f>J22/F22*100</f>
        <v>149.1327347770478</v>
      </c>
      <c r="O22" s="54">
        <f>K22/G22*100</f>
        <v>186.42201348704418</v>
      </c>
      <c r="P22" s="58">
        <f>C22*L22/100</f>
        <v>10.75512283385299</v>
      </c>
      <c r="Q22" s="57">
        <f>M22*C22/100</f>
        <v>13.733237269156618</v>
      </c>
      <c r="R22" s="117">
        <f>N22*C22/100</f>
        <v>14.913273477704779</v>
      </c>
      <c r="S22" s="118">
        <f>O22*C22/100</f>
        <v>18.642201348704418</v>
      </c>
      <c r="T22" t="s">
        <v>14</v>
      </c>
    </row>
    <row r="23" spans="1:20" ht="63.75">
      <c r="A23" s="70"/>
      <c r="B23" s="66" t="s">
        <v>105</v>
      </c>
      <c r="C23" s="155"/>
      <c r="D23" s="5">
        <v>18573648</v>
      </c>
      <c r="E23" s="5">
        <f>D23+18302809</f>
        <v>36876457</v>
      </c>
      <c r="F23" s="5">
        <f>E23+17456660</f>
        <v>54333117</v>
      </c>
      <c r="G23" s="71">
        <f>F23+23069199</f>
        <v>77402316</v>
      </c>
      <c r="H23" s="162">
        <f>H19</f>
        <v>20173117</v>
      </c>
      <c r="I23" s="60">
        <v>39004405</v>
      </c>
      <c r="J23" s="180">
        <v>60900904</v>
      </c>
      <c r="K23" s="181">
        <v>95522754</v>
      </c>
      <c r="L23" s="70"/>
      <c r="M23" s="60"/>
      <c r="N23" s="60"/>
      <c r="O23" s="63"/>
      <c r="P23" s="65"/>
      <c r="Q23" s="63"/>
      <c r="R23" s="97"/>
      <c r="S23" s="113"/>
    </row>
    <row r="24" spans="1:20" ht="102">
      <c r="A24" s="70"/>
      <c r="B24" s="66" t="s">
        <v>109</v>
      </c>
      <c r="C24" s="155"/>
      <c r="D24" s="131">
        <f>(11918504+11449110)/2</f>
        <v>11683807</v>
      </c>
      <c r="E24" s="131">
        <f>(11918504+18381082)/2</f>
        <v>15149793</v>
      </c>
      <c r="F24" s="131">
        <f>(11918504+18960349)/2</f>
        <v>15439426.5</v>
      </c>
      <c r="G24" s="131">
        <f>(11918504+22240570)/2</f>
        <v>17079537</v>
      </c>
      <c r="H24" s="163">
        <f>(11918504+11679474)/2</f>
        <v>11798989</v>
      </c>
      <c r="I24" s="163">
        <f>(11918504+11417594)/2</f>
        <v>11668049</v>
      </c>
      <c r="J24" s="196">
        <f>(11918504+11290008)/2</f>
        <v>11604256</v>
      </c>
      <c r="K24" s="196">
        <f>(11918504+10694683)/2</f>
        <v>11306593.5</v>
      </c>
      <c r="L24" s="70"/>
      <c r="M24" s="60"/>
      <c r="N24" s="60"/>
      <c r="O24" s="63"/>
      <c r="P24" s="65"/>
      <c r="Q24" s="63"/>
      <c r="R24" s="97"/>
      <c r="S24" s="113"/>
    </row>
    <row r="25" spans="1:20" ht="63.75">
      <c r="A25" s="73" t="s">
        <v>39</v>
      </c>
      <c r="B25" s="49" t="s">
        <v>110</v>
      </c>
      <c r="C25" s="50"/>
      <c r="D25" s="129"/>
      <c r="E25" s="129"/>
      <c r="F25" s="129"/>
      <c r="G25" s="157"/>
      <c r="H25" s="96"/>
      <c r="I25" s="53"/>
      <c r="J25" s="53"/>
      <c r="K25" s="54"/>
      <c r="L25" s="96"/>
      <c r="M25" s="53"/>
      <c r="N25" s="53"/>
      <c r="O25" s="54"/>
      <c r="P25" s="123"/>
      <c r="Q25" s="54"/>
      <c r="R25" s="114"/>
      <c r="S25" s="124"/>
    </row>
    <row r="26" spans="1:20" ht="25.5">
      <c r="A26" s="70"/>
      <c r="B26" s="49" t="s">
        <v>111</v>
      </c>
      <c r="C26" s="50">
        <v>15</v>
      </c>
      <c r="D26" s="132">
        <f>D27/D28</f>
        <v>0.76143336993535649</v>
      </c>
      <c r="E26" s="132">
        <f>E27/E28</f>
        <v>0.75137701845003413</v>
      </c>
      <c r="F26" s="132">
        <f>F27/F28</f>
        <v>0.76156778650749746</v>
      </c>
      <c r="G26" s="143">
        <f>G27/G28</f>
        <v>0.80312036335730419</v>
      </c>
      <c r="H26" s="69">
        <f t="shared" ref="H26:K26" si="5">H27/H28</f>
        <v>0.80566752640767303</v>
      </c>
      <c r="I26" s="50">
        <f t="shared" si="5"/>
        <v>0.78454141834000635</v>
      </c>
      <c r="J26" s="50">
        <f t="shared" si="5"/>
        <v>0.79559291582152158</v>
      </c>
      <c r="K26" s="80">
        <f t="shared" si="5"/>
        <v>0.84648292728737784</v>
      </c>
      <c r="L26" s="55">
        <f>H26/D26*100</f>
        <v>105.80932727916455</v>
      </c>
      <c r="M26" s="56">
        <f>I26/E26*100</f>
        <v>104.4138161103709</v>
      </c>
      <c r="N26" s="56">
        <f>J26/F26*100</f>
        <v>104.46777423058573</v>
      </c>
      <c r="O26" s="54">
        <f>K26/G26*100</f>
        <v>105.39926092133986</v>
      </c>
      <c r="P26" s="58">
        <f>C26*L26/100</f>
        <v>15.871399091874682</v>
      </c>
      <c r="Q26" s="57">
        <f>M26*C26/100</f>
        <v>15.662072416555636</v>
      </c>
      <c r="R26" s="117">
        <f>N26*C26/100</f>
        <v>15.670166134587859</v>
      </c>
      <c r="S26" s="118">
        <f>O26*C26/100</f>
        <v>15.80988913820098</v>
      </c>
      <c r="T26" t="s">
        <v>14</v>
      </c>
    </row>
    <row r="27" spans="1:20" ht="51">
      <c r="A27" s="70"/>
      <c r="B27" s="10" t="s">
        <v>112</v>
      </c>
      <c r="C27" s="14"/>
      <c r="D27" s="5">
        <v>18573648</v>
      </c>
      <c r="E27" s="5">
        <f>D27+18302809</f>
        <v>36876457</v>
      </c>
      <c r="F27" s="5">
        <f>E27+17456660</f>
        <v>54333117</v>
      </c>
      <c r="G27" s="71">
        <f>F27+23069199</f>
        <v>77402316</v>
      </c>
      <c r="H27" s="165">
        <v>19652652</v>
      </c>
      <c r="I27" s="180">
        <v>38504116</v>
      </c>
      <c r="J27" s="4">
        <v>56760598</v>
      </c>
      <c r="K27" s="8">
        <v>81581469</v>
      </c>
      <c r="L27" s="16"/>
      <c r="M27" s="4"/>
      <c r="N27" s="4"/>
      <c r="O27" s="8"/>
      <c r="P27" s="133"/>
      <c r="Q27" s="134"/>
      <c r="R27" s="135"/>
      <c r="S27" s="136"/>
    </row>
    <row r="28" spans="1:20" ht="102">
      <c r="A28" s="70"/>
      <c r="B28" s="10" t="s">
        <v>113</v>
      </c>
      <c r="C28" s="14"/>
      <c r="D28" s="131">
        <v>24393005</v>
      </c>
      <c r="E28" s="131">
        <f>D28+24685495</f>
        <v>49078500</v>
      </c>
      <c r="F28" s="131">
        <f>E28+22265270</f>
        <v>71343770</v>
      </c>
      <c r="G28" s="137">
        <f>F28+25033211</f>
        <v>96376981</v>
      </c>
      <c r="H28" s="164">
        <v>24393005</v>
      </c>
      <c r="I28" s="193">
        <f>H28+24685495</f>
        <v>49078500</v>
      </c>
      <c r="J28" s="4">
        <v>71343770</v>
      </c>
      <c r="K28" s="137">
        <f>G28</f>
        <v>96376981</v>
      </c>
      <c r="L28" s="16"/>
      <c r="M28" s="4"/>
      <c r="N28" s="4"/>
      <c r="O28" s="8"/>
      <c r="P28" s="133"/>
      <c r="Q28" s="134"/>
      <c r="R28" s="135"/>
      <c r="S28" s="136"/>
    </row>
    <row r="29" spans="1:20" ht="38.25">
      <c r="A29" s="70"/>
      <c r="B29" s="10" t="s">
        <v>114</v>
      </c>
      <c r="C29" s="14"/>
      <c r="D29" s="131">
        <v>0</v>
      </c>
      <c r="E29" s="131">
        <v>0</v>
      </c>
      <c r="F29" s="131">
        <v>0</v>
      </c>
      <c r="G29" s="137">
        <v>0</v>
      </c>
      <c r="H29" s="138">
        <v>0</v>
      </c>
      <c r="I29" s="131">
        <v>0</v>
      </c>
      <c r="J29" s="131">
        <v>0</v>
      </c>
      <c r="K29" s="137">
        <v>0</v>
      </c>
      <c r="L29" s="16"/>
      <c r="M29" s="4"/>
      <c r="N29" s="4"/>
      <c r="O29" s="8"/>
      <c r="P29" s="133"/>
      <c r="Q29" s="134"/>
      <c r="R29" s="135"/>
      <c r="S29" s="136"/>
    </row>
    <row r="30" spans="1:20" ht="38.25">
      <c r="A30" s="70"/>
      <c r="B30" s="10" t="s">
        <v>115</v>
      </c>
      <c r="C30" s="14"/>
      <c r="D30" s="131">
        <v>0</v>
      </c>
      <c r="E30" s="131">
        <v>0</v>
      </c>
      <c r="F30" s="131">
        <v>0</v>
      </c>
      <c r="G30" s="137">
        <v>0</v>
      </c>
      <c r="H30" s="138">
        <v>0</v>
      </c>
      <c r="I30" s="131">
        <v>0</v>
      </c>
      <c r="J30" s="131">
        <v>0</v>
      </c>
      <c r="K30" s="137">
        <v>0</v>
      </c>
      <c r="L30" s="16"/>
      <c r="M30" s="4"/>
      <c r="N30" s="4"/>
      <c r="O30" s="8"/>
      <c r="P30" s="133"/>
      <c r="Q30" s="134"/>
      <c r="R30" s="135"/>
      <c r="S30" s="136"/>
    </row>
    <row r="31" spans="1:20" ht="38.25">
      <c r="A31" s="73" t="s">
        <v>45</v>
      </c>
      <c r="B31" s="49" t="s">
        <v>116</v>
      </c>
      <c r="C31" s="50"/>
      <c r="D31" s="129"/>
      <c r="E31" s="129"/>
      <c r="F31" s="129"/>
      <c r="G31" s="157"/>
      <c r="H31" s="76"/>
      <c r="I31" s="74"/>
      <c r="J31" s="74"/>
      <c r="K31" s="77"/>
      <c r="L31" s="76"/>
      <c r="M31" s="74"/>
      <c r="N31" s="74"/>
      <c r="O31" s="77"/>
      <c r="P31" s="139"/>
      <c r="Q31" s="91"/>
      <c r="R31" s="92"/>
      <c r="S31" s="140"/>
    </row>
    <row r="32" spans="1:20" ht="15">
      <c r="A32" s="70"/>
      <c r="B32" s="141" t="s">
        <v>117</v>
      </c>
      <c r="C32" s="50">
        <v>15</v>
      </c>
      <c r="D32" s="130">
        <f>D33/D34</f>
        <v>0.1166646069706276</v>
      </c>
      <c r="E32" s="130">
        <f>E33/E34</f>
        <v>0.11606735686155949</v>
      </c>
      <c r="F32" s="130">
        <f>F33/F34</f>
        <v>0.11803412178023466</v>
      </c>
      <c r="G32" s="158">
        <f>G33/G34</f>
        <v>0.11797440221581466</v>
      </c>
      <c r="H32" s="142">
        <f t="shared" ref="H32:K32" si="6">H33/H34</f>
        <v>0.10274879004540216</v>
      </c>
      <c r="I32" s="132">
        <f t="shared" si="6"/>
        <v>9.9580193381564416E-2</v>
      </c>
      <c r="J32" s="132">
        <f t="shared" si="6"/>
        <v>9.7042843586011368E-2</v>
      </c>
      <c r="K32" s="143">
        <f t="shared" si="6"/>
        <v>9.6444501680758452E-2</v>
      </c>
      <c r="L32" s="55">
        <f>D32/H32*100</f>
        <v>113.54353362124886</v>
      </c>
      <c r="M32" s="56">
        <f>E32/I32*100</f>
        <v>116.55666947424044</v>
      </c>
      <c r="N32" s="56">
        <f>F32/J32*100</f>
        <v>121.63093889104582</v>
      </c>
      <c r="O32" s="57">
        <f>G32/K32*100</f>
        <v>122.32361633877531</v>
      </c>
      <c r="P32" s="58">
        <f>C32*L32/100</f>
        <v>17.031530043187328</v>
      </c>
      <c r="Q32" s="57">
        <f>M32*C32/100</f>
        <v>17.483500421136068</v>
      </c>
      <c r="R32" s="117">
        <f>N32*C32/100</f>
        <v>18.244640833656874</v>
      </c>
      <c r="S32" s="118">
        <f>O32*C32/100</f>
        <v>18.348542450816296</v>
      </c>
      <c r="T32" t="s">
        <v>28</v>
      </c>
    </row>
    <row r="33" spans="1:20" ht="63.75">
      <c r="A33" s="70"/>
      <c r="B33" s="66" t="s">
        <v>118</v>
      </c>
      <c r="C33" s="155"/>
      <c r="D33" s="131">
        <v>1703970</v>
      </c>
      <c r="E33" s="131">
        <f>D33+1680585</f>
        <v>3384555</v>
      </c>
      <c r="F33" s="131">
        <f>E33+1603607</f>
        <v>4988162</v>
      </c>
      <c r="G33" s="137">
        <f>F33+2104013</f>
        <v>7092175</v>
      </c>
      <c r="H33" s="166">
        <v>1595392.412</v>
      </c>
      <c r="I33" s="193">
        <v>3022892</v>
      </c>
      <c r="J33" s="193">
        <v>4537696</v>
      </c>
      <c r="K33" s="145">
        <v>6947764.0674900003</v>
      </c>
      <c r="L33" s="70"/>
      <c r="M33" s="60"/>
      <c r="N33" s="60"/>
      <c r="O33" s="63"/>
      <c r="P33" s="146"/>
      <c r="Q33" s="147"/>
      <c r="R33" s="99"/>
      <c r="S33" s="148"/>
    </row>
    <row r="34" spans="1:20" ht="25.5">
      <c r="A34" s="70"/>
      <c r="B34" s="66" t="s">
        <v>119</v>
      </c>
      <c r="C34" s="155"/>
      <c r="D34" s="4">
        <v>14605715</v>
      </c>
      <c r="E34" s="4">
        <f>D34+14554551</f>
        <v>29160266</v>
      </c>
      <c r="F34" s="9">
        <f>E34+13100073</f>
        <v>42260339</v>
      </c>
      <c r="G34" s="159">
        <f>F34+17855880</f>
        <v>60116219</v>
      </c>
      <c r="H34" s="166">
        <v>15527116.293</v>
      </c>
      <c r="I34" s="193">
        <v>30356358</v>
      </c>
      <c r="J34" s="193">
        <v>46759718</v>
      </c>
      <c r="K34" s="145">
        <v>72038985.597000003</v>
      </c>
      <c r="L34" s="70"/>
      <c r="M34" s="60"/>
      <c r="N34" s="60"/>
      <c r="O34" s="63"/>
      <c r="P34" s="146"/>
      <c r="Q34" s="147"/>
      <c r="R34" s="99"/>
      <c r="S34" s="148"/>
    </row>
    <row r="35" spans="1:20" ht="25.5">
      <c r="A35" s="73" t="s">
        <v>50</v>
      </c>
      <c r="B35" s="49" t="s">
        <v>120</v>
      </c>
      <c r="C35" s="50"/>
      <c r="D35" s="129"/>
      <c r="E35" s="129"/>
      <c r="F35" s="129"/>
      <c r="G35" s="157"/>
      <c r="H35" s="96"/>
      <c r="I35" s="53"/>
      <c r="J35" s="53"/>
      <c r="K35" s="54"/>
      <c r="L35" s="96"/>
      <c r="M35" s="53"/>
      <c r="N35" s="53"/>
      <c r="O35" s="54"/>
      <c r="P35" s="58"/>
      <c r="Q35" s="57"/>
      <c r="R35" s="117"/>
      <c r="S35" s="118"/>
    </row>
    <row r="36" spans="1:20" ht="15">
      <c r="A36" s="70"/>
      <c r="B36" s="125" t="s">
        <v>121</v>
      </c>
      <c r="C36" s="50">
        <v>5</v>
      </c>
      <c r="D36" s="130">
        <f>D37/377</f>
        <v>19.923485411140586</v>
      </c>
      <c r="E36" s="130">
        <f>E37/E38</f>
        <v>48.518233421750665</v>
      </c>
      <c r="F36" s="130">
        <f t="shared" ref="F36:G36" si="7">F37/F38</f>
        <v>54.353777188328912</v>
      </c>
      <c r="G36" s="130">
        <f t="shared" si="7"/>
        <v>73.154954907161795</v>
      </c>
      <c r="H36" s="142">
        <f>H37/H38</f>
        <v>25.809761273209549</v>
      </c>
      <c r="I36" s="132">
        <f>I37/I38</f>
        <v>43.387596899224803</v>
      </c>
      <c r="J36" s="132">
        <f>J37/J38</f>
        <v>58.196286472148543</v>
      </c>
      <c r="K36" s="143">
        <f>K37/K38</f>
        <v>71.821066489361712</v>
      </c>
      <c r="L36" s="69">
        <f>H36/D36*100</f>
        <v>129.54440822275777</v>
      </c>
      <c r="M36" s="56">
        <f>I36/E36*100</f>
        <v>89.425343503488307</v>
      </c>
      <c r="N36" s="56">
        <f>J36/F36*100</f>
        <v>107.06944297634702</v>
      </c>
      <c r="O36" s="54">
        <f>K36/G36*100</f>
        <v>98.17662601324426</v>
      </c>
      <c r="P36" s="58">
        <f>C36*L36/100</f>
        <v>6.4772204111378882</v>
      </c>
      <c r="Q36" s="57">
        <f>M36*C36/100</f>
        <v>4.4712671751744155</v>
      </c>
      <c r="R36" s="117">
        <f>N36*C36/100</f>
        <v>5.3534721488173513</v>
      </c>
      <c r="S36" s="118">
        <f>O36*C36/100</f>
        <v>4.9088313006622126</v>
      </c>
      <c r="T36" t="s">
        <v>14</v>
      </c>
    </row>
    <row r="37" spans="1:20" ht="25.5">
      <c r="A37" s="70"/>
      <c r="B37" s="66" t="s">
        <v>122</v>
      </c>
      <c r="C37" s="155"/>
      <c r="D37" s="131">
        <v>7511.1540000000005</v>
      </c>
      <c r="E37" s="131">
        <f>D37+10780.22</f>
        <v>18291.374</v>
      </c>
      <c r="F37" s="131">
        <f>E37+2200</f>
        <v>20491.374</v>
      </c>
      <c r="G37" s="137">
        <f>F37+7088.044</f>
        <v>27579.417999999998</v>
      </c>
      <c r="H37" s="170">
        <v>9730.2800000000007</v>
      </c>
      <c r="I37" s="180">
        <v>16791</v>
      </c>
      <c r="J37" s="4">
        <v>21940</v>
      </c>
      <c r="K37" s="160">
        <v>27004.721000000001</v>
      </c>
      <c r="L37" s="70"/>
      <c r="M37" s="60"/>
      <c r="N37" s="60"/>
      <c r="O37" s="63"/>
      <c r="P37" s="146"/>
      <c r="Q37" s="147"/>
      <c r="R37" s="99"/>
      <c r="S37" s="148"/>
    </row>
    <row r="38" spans="1:20" ht="38.25">
      <c r="A38" s="70"/>
      <c r="B38" s="66" t="s">
        <v>123</v>
      </c>
      <c r="C38" s="155"/>
      <c r="D38" s="131">
        <v>377</v>
      </c>
      <c r="E38" s="131">
        <v>377</v>
      </c>
      <c r="F38" s="131">
        <v>377</v>
      </c>
      <c r="G38" s="131">
        <v>377</v>
      </c>
      <c r="H38" s="162">
        <v>377</v>
      </c>
      <c r="I38" s="180">
        <v>387</v>
      </c>
      <c r="J38" s="4">
        <v>377</v>
      </c>
      <c r="K38" s="8">
        <v>376</v>
      </c>
      <c r="L38" s="70"/>
      <c r="M38" s="60"/>
      <c r="N38" s="60"/>
      <c r="O38" s="63"/>
      <c r="P38" s="146"/>
      <c r="Q38" s="147"/>
      <c r="R38" s="99"/>
      <c r="S38" s="148"/>
    </row>
    <row r="39" spans="1:20">
      <c r="A39" s="48" t="s">
        <v>53</v>
      </c>
      <c r="B39" s="49" t="s">
        <v>124</v>
      </c>
      <c r="C39" s="50"/>
      <c r="D39" s="129"/>
      <c r="E39" s="129"/>
      <c r="F39" s="129"/>
      <c r="G39" s="157"/>
      <c r="H39" s="96"/>
      <c r="I39" s="53"/>
      <c r="J39" s="53"/>
      <c r="K39" s="54"/>
      <c r="L39" s="96"/>
      <c r="M39" s="53"/>
      <c r="N39" s="53"/>
      <c r="O39" s="54"/>
      <c r="P39" s="58"/>
      <c r="Q39" s="57"/>
      <c r="R39" s="117"/>
      <c r="S39" s="118"/>
    </row>
    <row r="40" spans="1:20" ht="15">
      <c r="A40" s="48"/>
      <c r="B40" s="125" t="s">
        <v>125</v>
      </c>
      <c r="C40" s="50">
        <v>5</v>
      </c>
      <c r="D40" s="172">
        <v>1.05</v>
      </c>
      <c r="E40" s="172">
        <v>1.05</v>
      </c>
      <c r="F40" s="172">
        <v>1.05</v>
      </c>
      <c r="G40" s="197">
        <v>1.05</v>
      </c>
      <c r="H40" s="69">
        <f>374/386</f>
        <v>0.9689119170984456</v>
      </c>
      <c r="I40" s="50">
        <f>374/387</f>
        <v>0.96640826873385011</v>
      </c>
      <c r="J40" s="50">
        <f>374/381</f>
        <v>0.98162729658792647</v>
      </c>
      <c r="K40" s="50">
        <f>374/381</f>
        <v>0.98162729658792647</v>
      </c>
      <c r="L40" s="55">
        <f>D40/H40*100</f>
        <v>108.36898395721926</v>
      </c>
      <c r="M40" s="56">
        <f>E40/I40*100</f>
        <v>108.64973262032088</v>
      </c>
      <c r="N40" s="56">
        <f>F40/J40*100</f>
        <v>106.96524064171125</v>
      </c>
      <c r="O40" s="57">
        <f>G40/K40*100</f>
        <v>106.96524064171125</v>
      </c>
      <c r="P40" s="58">
        <f>C40*L40/100</f>
        <v>5.418449197860963</v>
      </c>
      <c r="Q40" s="57">
        <f>M40*C40/100</f>
        <v>5.4324866310160438</v>
      </c>
      <c r="R40" s="117">
        <f>N40*C40/100</f>
        <v>5.3482620320855618</v>
      </c>
      <c r="S40" s="118">
        <f>O40*C40/100</f>
        <v>5.3482620320855618</v>
      </c>
      <c r="T40" t="s">
        <v>28</v>
      </c>
    </row>
    <row r="41" spans="1:20" ht="38.25">
      <c r="A41" s="73"/>
      <c r="B41" s="66" t="s">
        <v>126</v>
      </c>
      <c r="C41" s="98"/>
      <c r="D41" s="144"/>
      <c r="E41" s="144"/>
      <c r="F41" s="144"/>
      <c r="G41" s="145"/>
      <c r="H41" s="70"/>
      <c r="I41" s="60"/>
      <c r="J41" s="60"/>
      <c r="K41" s="63"/>
      <c r="L41" s="70"/>
      <c r="M41" s="60"/>
      <c r="N41" s="60"/>
      <c r="O41" s="63"/>
      <c r="P41" s="146"/>
      <c r="Q41" s="147"/>
      <c r="R41" s="99"/>
      <c r="S41" s="148"/>
    </row>
    <row r="42" spans="1:20" ht="16.5" thickBot="1">
      <c r="A42" s="101"/>
      <c r="B42" s="149" t="s">
        <v>85</v>
      </c>
      <c r="C42" s="150">
        <f>SUM(C10:C41)</f>
        <v>100</v>
      </c>
      <c r="D42" s="104"/>
      <c r="E42" s="104"/>
      <c r="F42" s="104"/>
      <c r="G42" s="105"/>
      <c r="H42" s="101"/>
      <c r="I42" s="104"/>
      <c r="J42" s="104"/>
      <c r="K42" s="105"/>
      <c r="L42" s="101"/>
      <c r="M42" s="104"/>
      <c r="N42" s="104"/>
      <c r="O42" s="105"/>
      <c r="P42" s="106">
        <f>SUM(P9:P41)</f>
        <v>117.33416822402253</v>
      </c>
      <c r="Q42" s="107">
        <f>SUM(Q9:Q41)</f>
        <v>101.70078858861596</v>
      </c>
      <c r="R42" s="151">
        <f>SUM(R9:R41)</f>
        <v>106.14386476319478</v>
      </c>
      <c r="S42" s="152">
        <f>SUM(S9:S41)</f>
        <v>110.14770655706185</v>
      </c>
    </row>
    <row r="44" spans="1:20" ht="18">
      <c r="B44" s="108"/>
      <c r="C44" s="108"/>
      <c r="D44" s="108"/>
      <c r="E44" s="108"/>
    </row>
    <row r="45" spans="1:20" ht="15.75">
      <c r="B45" s="219" t="s">
        <v>86</v>
      </c>
      <c r="C45" s="219"/>
      <c r="D45" s="1" t="s">
        <v>87</v>
      </c>
      <c r="E45" s="21"/>
    </row>
    <row r="46" spans="1:20" ht="15.75">
      <c r="B46" s="1"/>
      <c r="C46" s="21"/>
      <c r="D46" s="21"/>
      <c r="E46" s="21"/>
    </row>
    <row r="47" spans="1:20" ht="15.75">
      <c r="B47" s="1" t="s">
        <v>88</v>
      </c>
      <c r="C47" s="21"/>
      <c r="D47" s="1" t="s">
        <v>89</v>
      </c>
      <c r="E47" s="1"/>
    </row>
  </sheetData>
  <mergeCells count="17">
    <mergeCell ref="A1:G1"/>
    <mergeCell ref="A2:S2"/>
    <mergeCell ref="A3:S3"/>
    <mergeCell ref="A5:A7"/>
    <mergeCell ref="B5:B7"/>
    <mergeCell ref="C5:C7"/>
    <mergeCell ref="D5:G5"/>
    <mergeCell ref="H5:K5"/>
    <mergeCell ref="L5:O5"/>
    <mergeCell ref="P5:P7"/>
    <mergeCell ref="B45:C45"/>
    <mergeCell ref="Q5:Q7"/>
    <mergeCell ref="R5:R7"/>
    <mergeCell ref="S5:S7"/>
    <mergeCell ref="D6:G6"/>
    <mergeCell ref="H6:K6"/>
    <mergeCell ref="L6:O6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</sheetPr>
  <dimension ref="A1:H93"/>
  <sheetViews>
    <sheetView topLeftCell="A83" workbookViewId="0">
      <selection activeCell="E25" sqref="E25"/>
    </sheetView>
  </sheetViews>
  <sheetFormatPr defaultRowHeight="12.75"/>
  <cols>
    <col min="1" max="1" width="4.42578125" customWidth="1"/>
    <col min="2" max="2" width="32.140625" customWidth="1"/>
    <col min="3" max="3" width="11" customWidth="1"/>
    <col min="4" max="4" width="12.5703125" customWidth="1"/>
    <col min="5" max="5" width="12.140625" customWidth="1"/>
    <col min="6" max="6" width="13.42578125" customWidth="1"/>
    <col min="7" max="7" width="11" customWidth="1"/>
  </cols>
  <sheetData>
    <row r="1" spans="1:8" ht="15.75">
      <c r="A1" s="1" t="s">
        <v>0</v>
      </c>
      <c r="B1" s="1"/>
    </row>
    <row r="2" spans="1:8" ht="15">
      <c r="A2" s="20" t="s">
        <v>1</v>
      </c>
      <c r="B2" s="20"/>
      <c r="C2" s="37"/>
      <c r="D2" s="228" t="s">
        <v>171</v>
      </c>
      <c r="E2" s="228"/>
      <c r="F2" s="228"/>
      <c r="G2" s="228"/>
    </row>
    <row r="3" spans="1:8" ht="15">
      <c r="A3" s="20" t="s">
        <v>2</v>
      </c>
      <c r="B3" s="20"/>
      <c r="C3" s="37"/>
      <c r="D3" s="228" t="s">
        <v>172</v>
      </c>
      <c r="E3" s="228"/>
      <c r="F3" s="228"/>
      <c r="G3" s="228"/>
    </row>
    <row r="4" spans="1:8" ht="29.25" customHeight="1">
      <c r="A4" s="20" t="s">
        <v>169</v>
      </c>
      <c r="B4" s="20"/>
      <c r="C4" s="37"/>
      <c r="D4" s="228" t="s">
        <v>173</v>
      </c>
      <c r="E4" s="228"/>
      <c r="F4" s="228"/>
      <c r="G4" s="228"/>
    </row>
    <row r="5" spans="1:8" ht="15">
      <c r="A5" s="20" t="s">
        <v>178</v>
      </c>
      <c r="B5" s="20"/>
      <c r="C5" s="37"/>
      <c r="D5" s="228" t="s">
        <v>179</v>
      </c>
      <c r="E5" s="228"/>
      <c r="F5" s="228"/>
      <c r="G5" s="228"/>
    </row>
    <row r="6" spans="1:8" ht="14.25">
      <c r="A6" s="254"/>
      <c r="B6" s="254"/>
      <c r="C6" s="254"/>
      <c r="D6" s="254"/>
    </row>
    <row r="7" spans="1:8" ht="15">
      <c r="A7" s="228" t="s">
        <v>3</v>
      </c>
      <c r="B7" s="228"/>
      <c r="C7" s="228"/>
      <c r="D7" s="228"/>
      <c r="E7" s="228"/>
      <c r="F7" s="228"/>
      <c r="G7" s="228"/>
    </row>
    <row r="8" spans="1:8" ht="15">
      <c r="A8" s="267" t="s">
        <v>170</v>
      </c>
      <c r="B8" s="267"/>
      <c r="C8" s="267"/>
      <c r="D8" s="267"/>
      <c r="E8" s="267"/>
      <c r="F8" s="267"/>
      <c r="G8" s="267"/>
    </row>
    <row r="9" spans="1:8" ht="15">
      <c r="A9" s="267" t="s">
        <v>183</v>
      </c>
      <c r="B9" s="267"/>
      <c r="C9" s="267"/>
      <c r="D9" s="267"/>
      <c r="E9" s="267"/>
      <c r="F9" s="267"/>
      <c r="G9" s="267"/>
    </row>
    <row r="10" spans="1:8" ht="15">
      <c r="A10" s="203"/>
      <c r="B10" s="203"/>
      <c r="C10" s="203"/>
      <c r="D10" s="203"/>
    </row>
    <row r="11" spans="1:8" ht="12.75" customHeight="1">
      <c r="A11" s="233" t="s">
        <v>4</v>
      </c>
      <c r="B11" s="233" t="s">
        <v>5</v>
      </c>
      <c r="C11" s="235" t="s">
        <v>6</v>
      </c>
      <c r="D11" s="235" t="s">
        <v>180</v>
      </c>
      <c r="E11" s="235" t="s">
        <v>181</v>
      </c>
      <c r="F11" s="235" t="s">
        <v>7</v>
      </c>
      <c r="G11" s="268" t="s">
        <v>182</v>
      </c>
    </row>
    <row r="12" spans="1:8">
      <c r="A12" s="233"/>
      <c r="B12" s="233"/>
      <c r="C12" s="235"/>
      <c r="D12" s="235"/>
      <c r="E12" s="235"/>
      <c r="F12" s="235"/>
      <c r="G12" s="268"/>
    </row>
    <row r="13" spans="1:8" ht="27.75" customHeight="1">
      <c r="A13" s="233"/>
      <c r="B13" s="233"/>
      <c r="C13" s="235"/>
      <c r="D13" s="235"/>
      <c r="E13" s="235"/>
      <c r="F13" s="235"/>
      <c r="G13" s="268"/>
    </row>
    <row r="14" spans="1:8">
      <c r="A14" s="201"/>
      <c r="B14" s="201"/>
      <c r="C14" s="205" t="s">
        <v>8</v>
      </c>
      <c r="D14" s="200" t="s">
        <v>9</v>
      </c>
      <c r="E14" s="200" t="s">
        <v>10</v>
      </c>
      <c r="F14" s="200" t="s">
        <v>11</v>
      </c>
      <c r="G14" s="202"/>
    </row>
    <row r="15" spans="1:8" ht="29.25" customHeight="1">
      <c r="A15" s="206" t="s">
        <v>12</v>
      </c>
      <c r="B15" s="49" t="s">
        <v>13</v>
      </c>
      <c r="C15" s="50">
        <v>20</v>
      </c>
      <c r="D15" s="126">
        <f>D27</f>
        <v>10639997.4</v>
      </c>
      <c r="E15" s="126">
        <v>13176010.91426</v>
      </c>
      <c r="F15" s="56">
        <f>E15/D15*100</f>
        <v>123.83471930416073</v>
      </c>
      <c r="G15" s="56">
        <f>F15*C15/100</f>
        <v>24.766943860832143</v>
      </c>
      <c r="H15" t="s">
        <v>14</v>
      </c>
    </row>
    <row r="16" spans="1:8">
      <c r="A16" s="61"/>
      <c r="B16" s="60"/>
      <c r="C16" s="61"/>
      <c r="D16" s="131"/>
      <c r="E16" s="131"/>
      <c r="F16" s="4"/>
      <c r="G16" s="60"/>
    </row>
    <row r="17" spans="1:8">
      <c r="A17" s="61"/>
      <c r="B17" s="60" t="s">
        <v>15</v>
      </c>
      <c r="C17" s="61"/>
      <c r="D17" s="128">
        <v>6550165</v>
      </c>
      <c r="E17" s="131">
        <v>8772999</v>
      </c>
      <c r="F17" s="4"/>
      <c r="G17" s="60"/>
    </row>
    <row r="18" spans="1:8">
      <c r="A18" s="61"/>
      <c r="B18" s="60" t="s">
        <v>16</v>
      </c>
      <c r="C18" s="61"/>
      <c r="D18" s="128">
        <v>1343050</v>
      </c>
      <c r="E18" s="131">
        <v>1612675</v>
      </c>
      <c r="F18" s="4"/>
      <c r="G18" s="60"/>
    </row>
    <row r="19" spans="1:8">
      <c r="A19" s="61"/>
      <c r="B19" s="60" t="s">
        <v>17</v>
      </c>
      <c r="C19" s="61"/>
      <c r="D19" s="128"/>
      <c r="E19" s="131"/>
      <c r="F19" s="4"/>
      <c r="G19" s="60"/>
    </row>
    <row r="20" spans="1:8">
      <c r="A20" s="61"/>
      <c r="B20" s="60" t="s">
        <v>18</v>
      </c>
      <c r="C20" s="61"/>
      <c r="D20" s="128"/>
      <c r="E20" s="131"/>
      <c r="F20" s="4"/>
      <c r="G20" s="60"/>
    </row>
    <row r="21" spans="1:8">
      <c r="A21" s="61"/>
      <c r="B21" s="60" t="s">
        <v>19</v>
      </c>
      <c r="C21" s="61"/>
      <c r="D21" s="128"/>
      <c r="E21" s="131"/>
      <c r="F21" s="4"/>
      <c r="G21" s="60"/>
    </row>
    <row r="22" spans="1:8">
      <c r="A22" s="61"/>
      <c r="B22" s="60" t="s">
        <v>20</v>
      </c>
      <c r="C22" s="61"/>
      <c r="D22" s="128">
        <v>100000</v>
      </c>
      <c r="E22" s="131">
        <v>41063</v>
      </c>
      <c r="F22" s="4"/>
      <c r="G22" s="60"/>
    </row>
    <row r="23" spans="1:8">
      <c r="A23" s="61"/>
      <c r="B23" s="60" t="s">
        <v>21</v>
      </c>
      <c r="C23" s="61"/>
      <c r="D23" s="128"/>
      <c r="E23" s="131"/>
      <c r="F23" s="4"/>
      <c r="G23" s="60"/>
    </row>
    <row r="24" spans="1:8">
      <c r="A24" s="61"/>
      <c r="B24" s="61" t="s">
        <v>22</v>
      </c>
      <c r="C24" s="61"/>
      <c r="D24" s="217">
        <f>SUM(D17:D23)</f>
        <v>7993215</v>
      </c>
      <c r="E24" s="217">
        <v>10426737</v>
      </c>
      <c r="F24" s="4"/>
      <c r="G24" s="60"/>
    </row>
    <row r="25" spans="1:8" ht="38.25" customHeight="1">
      <c r="A25" s="61"/>
      <c r="B25" s="66" t="s">
        <v>23</v>
      </c>
      <c r="C25" s="61"/>
      <c r="D25" s="128">
        <v>2646782.4</v>
      </c>
      <c r="E25" s="131">
        <v>2749273.91426</v>
      </c>
      <c r="F25" s="4"/>
      <c r="G25" s="60"/>
    </row>
    <row r="26" spans="1:8">
      <c r="A26" s="61"/>
      <c r="B26" s="60" t="s">
        <v>24</v>
      </c>
      <c r="C26" s="61"/>
      <c r="D26" s="128"/>
      <c r="E26" s="131"/>
      <c r="F26" s="4"/>
      <c r="G26" s="60"/>
    </row>
    <row r="27" spans="1:8" ht="17.25" customHeight="1">
      <c r="A27" s="61"/>
      <c r="B27" s="61" t="s">
        <v>25</v>
      </c>
      <c r="C27" s="61"/>
      <c r="D27" s="217">
        <f>SUM(D24:D26)</f>
        <v>10639997.4</v>
      </c>
      <c r="E27" s="217">
        <v>13176010.91426</v>
      </c>
      <c r="F27" s="4"/>
      <c r="G27" s="60"/>
    </row>
    <row r="28" spans="1:8" ht="30.75" customHeight="1">
      <c r="A28" s="206" t="s">
        <v>26</v>
      </c>
      <c r="B28" s="49" t="s">
        <v>27</v>
      </c>
      <c r="C28" s="50">
        <v>20</v>
      </c>
      <c r="D28" s="50">
        <v>0.90861752767191095</v>
      </c>
      <c r="E28" s="50">
        <v>0.89958321344043324</v>
      </c>
      <c r="F28" s="56">
        <f>D28/E28*100</f>
        <v>101.00427776958244</v>
      </c>
      <c r="G28" s="56">
        <f>F28*C28/100</f>
        <v>20.20085555391649</v>
      </c>
      <c r="H28" t="s">
        <v>28</v>
      </c>
    </row>
    <row r="29" spans="1:8">
      <c r="A29" s="61"/>
      <c r="B29" s="60" t="s">
        <v>29</v>
      </c>
      <c r="C29" s="61"/>
      <c r="D29" s="131"/>
      <c r="E29" s="131"/>
      <c r="F29" s="60"/>
      <c r="G29" s="60"/>
    </row>
    <row r="30" spans="1:8">
      <c r="A30" s="60"/>
      <c r="B30" s="61" t="s">
        <v>166</v>
      </c>
      <c r="C30" s="61"/>
      <c r="D30" s="217">
        <v>70329101</v>
      </c>
      <c r="E30" s="217">
        <v>85930666</v>
      </c>
      <c r="F30" s="60"/>
      <c r="G30" s="60"/>
    </row>
    <row r="31" spans="1:8">
      <c r="A31" s="60"/>
      <c r="B31" s="61" t="s">
        <v>30</v>
      </c>
      <c r="C31" s="61"/>
      <c r="D31" s="217">
        <v>60116219</v>
      </c>
      <c r="E31" s="217">
        <v>72692790</v>
      </c>
      <c r="F31" s="60"/>
      <c r="G31" s="60"/>
    </row>
    <row r="32" spans="1:8">
      <c r="A32" s="60"/>
      <c r="B32" s="207" t="s">
        <v>31</v>
      </c>
      <c r="C32" s="61"/>
      <c r="D32" s="217">
        <v>10212882</v>
      </c>
      <c r="E32" s="217">
        <v>13237876</v>
      </c>
      <c r="F32" s="60"/>
      <c r="G32" s="60"/>
    </row>
    <row r="33" spans="1:8">
      <c r="A33" s="60"/>
      <c r="B33" s="60" t="s">
        <v>145</v>
      </c>
      <c r="C33" s="61"/>
      <c r="D33" s="131">
        <v>156911</v>
      </c>
      <c r="E33" s="131">
        <v>197352</v>
      </c>
      <c r="F33" s="60"/>
      <c r="G33" s="60"/>
    </row>
    <row r="34" spans="1:8">
      <c r="A34" s="60"/>
      <c r="B34" s="60" t="s">
        <v>146</v>
      </c>
      <c r="C34" s="61"/>
      <c r="D34" s="131">
        <v>2937007</v>
      </c>
      <c r="E34" s="131">
        <v>2684587</v>
      </c>
      <c r="F34" s="60"/>
      <c r="G34" s="60"/>
    </row>
    <row r="35" spans="1:8">
      <c r="A35" s="60"/>
      <c r="B35" s="60" t="s">
        <v>147</v>
      </c>
      <c r="C35" s="61"/>
      <c r="D35" s="128">
        <v>7118964</v>
      </c>
      <c r="E35" s="131">
        <v>10355937</v>
      </c>
      <c r="F35" s="60"/>
      <c r="G35" s="60"/>
    </row>
    <row r="36" spans="1:8" ht="14.25" customHeight="1">
      <c r="A36" s="60"/>
      <c r="B36" s="61" t="s">
        <v>32</v>
      </c>
      <c r="C36" s="61"/>
      <c r="D36" s="217">
        <v>77402316</v>
      </c>
      <c r="E36" s="217">
        <v>95522754</v>
      </c>
      <c r="F36" s="60"/>
      <c r="G36" s="60"/>
    </row>
    <row r="37" spans="1:8" ht="30.75" customHeight="1">
      <c r="A37" s="200" t="s">
        <v>33</v>
      </c>
      <c r="B37" s="49" t="s">
        <v>34</v>
      </c>
      <c r="C37" s="53"/>
      <c r="D37" s="74"/>
      <c r="E37" s="74"/>
      <c r="F37" s="74"/>
      <c r="G37" s="74"/>
    </row>
    <row r="38" spans="1:8" ht="53.25" customHeight="1">
      <c r="A38" s="60"/>
      <c r="B38" s="79" t="s">
        <v>35</v>
      </c>
      <c r="C38" s="50">
        <v>10</v>
      </c>
      <c r="D38" s="50">
        <v>0.85188875887616466</v>
      </c>
      <c r="E38" s="50">
        <v>0.87279149552984059</v>
      </c>
      <c r="F38" s="56">
        <f>E38/D38*100</f>
        <v>102.45369321239212</v>
      </c>
      <c r="G38" s="56">
        <f>F38*C38/100</f>
        <v>10.245369321239213</v>
      </c>
      <c r="H38" t="s">
        <v>14</v>
      </c>
    </row>
    <row r="39" spans="1:8" ht="18" customHeight="1">
      <c r="A39" s="60"/>
      <c r="B39" s="60" t="s">
        <v>36</v>
      </c>
      <c r="C39" s="61"/>
      <c r="D39" s="128">
        <v>6550165</v>
      </c>
      <c r="E39" s="131">
        <v>8772999</v>
      </c>
      <c r="F39" s="60"/>
      <c r="G39" s="60"/>
    </row>
    <row r="40" spans="1:8" ht="93" customHeight="1">
      <c r="A40" s="60"/>
      <c r="B40" s="81" t="s">
        <v>168</v>
      </c>
      <c r="C40" s="61"/>
      <c r="D40" s="131">
        <v>7688991</v>
      </c>
      <c r="E40" s="6">
        <f>((4784872+4326871)+(9569744+1421823))/2</f>
        <v>10051655</v>
      </c>
      <c r="F40" s="60"/>
      <c r="G40" s="60"/>
    </row>
    <row r="41" spans="1:8" ht="27.75" customHeight="1">
      <c r="A41" s="200" t="s">
        <v>37</v>
      </c>
      <c r="B41" s="49" t="s">
        <v>38</v>
      </c>
      <c r="C41" s="53"/>
      <c r="D41" s="74"/>
      <c r="E41" s="74"/>
      <c r="F41" s="74"/>
      <c r="G41" s="74"/>
    </row>
    <row r="42" spans="1:8" ht="40.5" customHeight="1">
      <c r="A42" s="60"/>
      <c r="B42" s="79" t="s">
        <v>137</v>
      </c>
      <c r="C42" s="50">
        <v>5</v>
      </c>
      <c r="D42" s="82">
        <v>0.25605379980912552</v>
      </c>
      <c r="E42" s="82">
        <v>0.35886889159405261</v>
      </c>
      <c r="F42" s="56">
        <f>E42/D42*100</f>
        <v>140.15370670600095</v>
      </c>
      <c r="G42" s="56">
        <f>F42*C42/100</f>
        <v>7.0076853353000477</v>
      </c>
      <c r="H42" t="s">
        <v>14</v>
      </c>
    </row>
    <row r="43" spans="1:8" ht="18.75" customHeight="1">
      <c r="A43" s="60"/>
      <c r="B43" s="60" t="s">
        <v>36</v>
      </c>
      <c r="C43" s="61"/>
      <c r="D43" s="128">
        <v>6550165</v>
      </c>
      <c r="E43" s="131">
        <v>8772999</v>
      </c>
      <c r="F43" s="11"/>
      <c r="G43" s="60"/>
    </row>
    <row r="44" spans="1:8" ht="101.25" customHeight="1">
      <c r="A44" s="60"/>
      <c r="B44" s="17" t="s">
        <v>138</v>
      </c>
      <c r="C44" s="5"/>
      <c r="D44" s="131">
        <v>25581206</v>
      </c>
      <c r="E44" s="16">
        <f>((25981422-4326871)+(28659774-1421823))/2</f>
        <v>24446251</v>
      </c>
      <c r="F44" s="4"/>
      <c r="G44" s="60"/>
    </row>
    <row r="45" spans="1:8" ht="24.75" customHeight="1">
      <c r="A45" s="206" t="s">
        <v>39</v>
      </c>
      <c r="B45" s="49" t="s">
        <v>40</v>
      </c>
      <c r="C45" s="50">
        <v>5</v>
      </c>
      <c r="D45" s="50">
        <v>0.55223880597014929</v>
      </c>
      <c r="E45" s="50">
        <f>'КПЭоснов18г утвержд'!J38</f>
        <v>0.55223880597014929</v>
      </c>
      <c r="F45" s="56">
        <v>100</v>
      </c>
      <c r="G45" s="56">
        <v>5</v>
      </c>
      <c r="H45" t="s">
        <v>14</v>
      </c>
    </row>
    <row r="46" spans="1:8" ht="66.75" customHeight="1">
      <c r="A46" s="4"/>
      <c r="B46" s="10" t="s">
        <v>41</v>
      </c>
      <c r="C46" s="14"/>
      <c r="D46" s="131"/>
      <c r="E46" s="131"/>
      <c r="F46" s="11"/>
      <c r="G46" s="11"/>
      <c r="H46" s="18"/>
    </row>
    <row r="47" spans="1:8">
      <c r="A47" s="4"/>
      <c r="B47" s="4" t="s">
        <v>42</v>
      </c>
      <c r="C47" s="5"/>
      <c r="D47" s="131">
        <v>3350</v>
      </c>
      <c r="E47" s="131">
        <f>'КПЭоснов18г утвержд'!J40</f>
        <v>3350</v>
      </c>
      <c r="F47" s="4"/>
      <c r="G47" s="4"/>
      <c r="H47" s="18"/>
    </row>
    <row r="48" spans="1:8">
      <c r="A48" s="4"/>
      <c r="B48" s="4" t="s">
        <v>43</v>
      </c>
      <c r="C48" s="5"/>
      <c r="D48" s="131">
        <v>3350</v>
      </c>
      <c r="E48" s="131">
        <f>'КПЭоснов18г утвержд'!J41</f>
        <v>3350</v>
      </c>
      <c r="F48" s="4"/>
      <c r="G48" s="4"/>
      <c r="H48" s="18"/>
    </row>
    <row r="49" spans="1:8">
      <c r="A49" s="4"/>
      <c r="B49" s="4" t="s">
        <v>44</v>
      </c>
      <c r="C49" s="5"/>
      <c r="D49" s="131">
        <v>1850</v>
      </c>
      <c r="E49" s="131">
        <f>'КПЭоснов18г утвержд'!J42</f>
        <v>1850</v>
      </c>
      <c r="F49" s="4"/>
      <c r="G49" s="4"/>
      <c r="H49" s="18"/>
    </row>
    <row r="50" spans="1:8">
      <c r="A50" s="200" t="s">
        <v>45</v>
      </c>
      <c r="B50" s="53" t="s">
        <v>46</v>
      </c>
      <c r="C50" s="53"/>
      <c r="D50" s="74"/>
      <c r="E50" s="74"/>
      <c r="F50" s="74"/>
      <c r="G50" s="74"/>
    </row>
    <row r="51" spans="1:8">
      <c r="A51" s="60"/>
      <c r="B51" s="74" t="s">
        <v>47</v>
      </c>
      <c r="C51" s="50">
        <v>4.9999874999999996</v>
      </c>
      <c r="D51" s="82">
        <v>0.27709760296214292</v>
      </c>
      <c r="E51" s="82">
        <v>0.38014080072478645</v>
      </c>
      <c r="F51" s="56">
        <f>E51/D51*100</f>
        <v>137.18660741237855</v>
      </c>
      <c r="G51" s="56">
        <f>F51*C51/100</f>
        <v>6.8593132222930002</v>
      </c>
      <c r="H51" t="s">
        <v>14</v>
      </c>
    </row>
    <row r="52" spans="1:8" ht="65.25" customHeight="1">
      <c r="A52" s="60"/>
      <c r="B52" s="66" t="s">
        <v>48</v>
      </c>
      <c r="C52" s="61"/>
      <c r="D52" s="131">
        <v>7893215</v>
      </c>
      <c r="E52" s="131">
        <v>10385674</v>
      </c>
      <c r="F52" s="60"/>
      <c r="G52" s="60"/>
    </row>
    <row r="53" spans="1:8" ht="146.25" customHeight="1">
      <c r="A53" s="60"/>
      <c r="B53" s="87" t="s">
        <v>49</v>
      </c>
      <c r="C53" s="61"/>
      <c r="D53" s="131">
        <v>28485324</v>
      </c>
      <c r="E53" s="218">
        <f>(25981422+28659774)/2</f>
        <v>27320598</v>
      </c>
      <c r="F53" s="60"/>
      <c r="G53" s="60"/>
    </row>
    <row r="54" spans="1:8" ht="28.5" customHeight="1">
      <c r="A54" s="200" t="s">
        <v>50</v>
      </c>
      <c r="B54" s="49" t="s">
        <v>51</v>
      </c>
      <c r="C54" s="53"/>
      <c r="D54" s="74"/>
      <c r="E54" s="74"/>
      <c r="F54" s="74"/>
      <c r="G54" s="74"/>
    </row>
    <row r="55" spans="1:8" ht="64.5" customHeight="1">
      <c r="A55" s="60"/>
      <c r="B55" s="88" t="s">
        <v>52</v>
      </c>
      <c r="C55" s="50">
        <v>4.9999874999999996</v>
      </c>
      <c r="D55" s="82">
        <v>3.1605079365936577</v>
      </c>
      <c r="E55" s="90">
        <v>2.8035423537247603</v>
      </c>
      <c r="F55" s="56">
        <f>E55/D55*100</f>
        <v>88.705436277004608</v>
      </c>
      <c r="G55" s="56">
        <f>F55*C55/100</f>
        <v>4.4352607256706955</v>
      </c>
      <c r="H55" t="s">
        <v>14</v>
      </c>
    </row>
    <row r="56" spans="1:8" ht="42" customHeight="1">
      <c r="A56" s="60"/>
      <c r="B56" s="66" t="s">
        <v>139</v>
      </c>
      <c r="C56" s="61"/>
      <c r="D56" s="131">
        <v>4681869</v>
      </c>
      <c r="E56" s="131">
        <v>3986141</v>
      </c>
      <c r="F56" s="60"/>
      <c r="G56" s="60"/>
    </row>
    <row r="57" spans="1:8" ht="26.25" customHeight="1">
      <c r="A57" s="60"/>
      <c r="B57" s="66" t="s">
        <v>140</v>
      </c>
      <c r="C57" s="61"/>
      <c r="D57" s="131">
        <v>1481366</v>
      </c>
      <c r="E57" s="131">
        <v>1421823</v>
      </c>
      <c r="F57" s="60"/>
      <c r="G57" s="60"/>
    </row>
    <row r="58" spans="1:8" ht="27.75" customHeight="1">
      <c r="A58" s="200" t="s">
        <v>53</v>
      </c>
      <c r="B58" s="88" t="s">
        <v>54</v>
      </c>
      <c r="C58" s="53"/>
      <c r="D58" s="74"/>
      <c r="E58" s="74"/>
      <c r="F58" s="74"/>
      <c r="G58" s="74"/>
    </row>
    <row r="59" spans="1:8">
      <c r="A59" s="60"/>
      <c r="B59" s="74" t="s">
        <v>55</v>
      </c>
      <c r="C59" s="50">
        <v>5</v>
      </c>
      <c r="D59" s="90">
        <v>19.91935753892016</v>
      </c>
      <c r="E59" s="82">
        <v>19.157061743972353</v>
      </c>
      <c r="F59" s="56">
        <f>E59/D59*100</f>
        <v>96.173090455059267</v>
      </c>
      <c r="G59" s="56">
        <f>F59*C59/100</f>
        <v>4.8086545227529633</v>
      </c>
      <c r="H59" t="s">
        <v>14</v>
      </c>
    </row>
    <row r="60" spans="1:8" ht="41.25" customHeight="1">
      <c r="A60" s="60"/>
      <c r="B60" s="66" t="s">
        <v>56</v>
      </c>
      <c r="C60" s="61"/>
      <c r="D60" s="131">
        <v>29507859</v>
      </c>
      <c r="E60" s="144">
        <v>27237951</v>
      </c>
      <c r="F60" s="60"/>
      <c r="G60" s="60"/>
    </row>
    <row r="61" spans="1:8" ht="27.75" customHeight="1">
      <c r="A61" s="60"/>
      <c r="B61" s="66" t="s">
        <v>57</v>
      </c>
      <c r="C61" s="61"/>
      <c r="D61" s="131">
        <v>1481366</v>
      </c>
      <c r="E61" s="144">
        <v>1421823</v>
      </c>
      <c r="F61" s="60"/>
      <c r="G61" s="60"/>
    </row>
    <row r="62" spans="1:8" ht="29.25" customHeight="1">
      <c r="A62" s="60"/>
      <c r="B62" s="66" t="s">
        <v>58</v>
      </c>
      <c r="C62" s="61"/>
      <c r="D62" s="131">
        <v>0</v>
      </c>
      <c r="E62" s="144">
        <v>0</v>
      </c>
      <c r="F62" s="60"/>
      <c r="G62" s="60"/>
    </row>
    <row r="63" spans="1:8" ht="27" customHeight="1">
      <c r="A63" s="200" t="s">
        <v>59</v>
      </c>
      <c r="B63" s="49" t="s">
        <v>60</v>
      </c>
      <c r="C63" s="53"/>
      <c r="D63" s="74"/>
      <c r="E63" s="74"/>
      <c r="F63" s="74"/>
      <c r="G63" s="74"/>
    </row>
    <row r="64" spans="1:8" ht="21" customHeight="1">
      <c r="A64" s="60"/>
      <c r="B64" s="88" t="s">
        <v>61</v>
      </c>
      <c r="C64" s="50">
        <v>4.9999874999999996</v>
      </c>
      <c r="D64" s="93">
        <v>6.9855608713310335</v>
      </c>
      <c r="E64" s="93">
        <f>E66/(E65/E67)</f>
        <v>8.4994058588386174</v>
      </c>
      <c r="F64" s="85">
        <f>D64/E64*100</f>
        <v>82.188813987117442</v>
      </c>
      <c r="G64" s="56">
        <f>F64*C64/100</f>
        <v>4.1094304257541232</v>
      </c>
      <c r="H64" t="s">
        <v>28</v>
      </c>
    </row>
    <row r="65" spans="1:8" ht="53.25" customHeight="1">
      <c r="A65" s="60"/>
      <c r="B65" s="66" t="s">
        <v>62</v>
      </c>
      <c r="C65" s="61"/>
      <c r="D65" s="128">
        <v>77402316</v>
      </c>
      <c r="E65" s="128">
        <v>95522754</v>
      </c>
      <c r="F65" s="60"/>
      <c r="G65" s="4"/>
    </row>
    <row r="66" spans="1:8" ht="25.5" customHeight="1">
      <c r="A66" s="60"/>
      <c r="B66" s="66" t="s">
        <v>63</v>
      </c>
      <c r="C66" s="61"/>
      <c r="D66" s="128">
        <v>365</v>
      </c>
      <c r="E66" s="128">
        <v>365</v>
      </c>
      <c r="F66" s="60"/>
      <c r="G66" s="4"/>
    </row>
    <row r="67" spans="1:8" ht="87.75" customHeight="1">
      <c r="A67" s="60"/>
      <c r="B67" s="66" t="s">
        <v>64</v>
      </c>
      <c r="C67" s="61"/>
      <c r="D67" s="128">
        <v>1481366</v>
      </c>
      <c r="E67" s="4">
        <f>(3026871+1421823)/2</f>
        <v>2224347</v>
      </c>
      <c r="F67" s="60"/>
      <c r="G67" s="60"/>
    </row>
    <row r="68" spans="1:8" ht="30" customHeight="1">
      <c r="A68" s="200" t="s">
        <v>65</v>
      </c>
      <c r="B68" s="49" t="s">
        <v>66</v>
      </c>
      <c r="C68" s="53"/>
      <c r="D68" s="74"/>
      <c r="E68" s="74"/>
      <c r="F68" s="74"/>
      <c r="G68" s="74"/>
    </row>
    <row r="69" spans="1:8" ht="22.5" customHeight="1">
      <c r="A69" s="200"/>
      <c r="B69" s="88" t="s">
        <v>177</v>
      </c>
      <c r="C69" s="50">
        <v>5</v>
      </c>
      <c r="D69" s="93">
        <v>5.9474451643023194</v>
      </c>
      <c r="E69" s="93">
        <f>E71/(E70/E72)</f>
        <v>14.577216204423921</v>
      </c>
      <c r="F69" s="56">
        <f>D69/E69*100</f>
        <v>40.799594935673504</v>
      </c>
      <c r="G69" s="56">
        <f>F69*C69/100</f>
        <v>2.0399797467836751</v>
      </c>
      <c r="H69" t="s">
        <v>28</v>
      </c>
    </row>
    <row r="70" spans="1:8" ht="49.5" customHeight="1">
      <c r="A70" s="200"/>
      <c r="B70" s="66" t="s">
        <v>62</v>
      </c>
      <c r="C70" s="61"/>
      <c r="D70" s="128">
        <v>77402316</v>
      </c>
      <c r="E70" s="128">
        <v>95522754</v>
      </c>
      <c r="F70" s="60"/>
      <c r="G70" s="60"/>
    </row>
    <row r="71" spans="1:8" ht="26.25" customHeight="1">
      <c r="A71" s="200"/>
      <c r="B71" s="66" t="s">
        <v>63</v>
      </c>
      <c r="C71" s="61"/>
      <c r="D71" s="128">
        <v>365</v>
      </c>
      <c r="E71" s="128">
        <v>365</v>
      </c>
      <c r="F71" s="60"/>
      <c r="G71" s="60"/>
    </row>
    <row r="72" spans="1:8" ht="93.75" customHeight="1">
      <c r="A72" s="200"/>
      <c r="B72" s="66" t="s">
        <v>68</v>
      </c>
      <c r="C72" s="61"/>
      <c r="D72" s="128">
        <v>1261222</v>
      </c>
      <c r="E72" s="6">
        <f>(1114488+6515407)/2</f>
        <v>3814947.5</v>
      </c>
      <c r="F72" s="60"/>
      <c r="G72" s="60"/>
    </row>
    <row r="73" spans="1:8" ht="26.25" customHeight="1">
      <c r="A73" s="200" t="s">
        <v>69</v>
      </c>
      <c r="B73" s="88" t="s">
        <v>70</v>
      </c>
      <c r="C73" s="53"/>
      <c r="D73" s="74"/>
      <c r="E73" s="74"/>
      <c r="F73" s="74"/>
      <c r="G73" s="74"/>
    </row>
    <row r="74" spans="1:8" ht="18.75" customHeight="1">
      <c r="A74" s="60"/>
      <c r="B74" s="88" t="s">
        <v>71</v>
      </c>
      <c r="C74" s="50">
        <v>5</v>
      </c>
      <c r="D74" s="82">
        <v>5.4396793230032285</v>
      </c>
      <c r="E74" s="82">
        <v>12.145525849560739</v>
      </c>
      <c r="F74" s="56">
        <f>E74/D74*100</f>
        <v>223.27650452113849</v>
      </c>
      <c r="G74" s="56">
        <f>F74*C74/100</f>
        <v>11.163825226056924</v>
      </c>
      <c r="H74" t="s">
        <v>14</v>
      </c>
    </row>
    <row r="75" spans="1:8" ht="27.75" customHeight="1">
      <c r="A75" s="60"/>
      <c r="B75" s="66" t="s">
        <v>72</v>
      </c>
      <c r="C75" s="61"/>
      <c r="D75" s="131">
        <v>8058156</v>
      </c>
      <c r="E75" s="131">
        <v>17268788</v>
      </c>
      <c r="F75" s="60"/>
      <c r="G75" s="60"/>
    </row>
    <row r="76" spans="1:8" ht="27.75" customHeight="1">
      <c r="A76" s="60"/>
      <c r="B76" s="66" t="s">
        <v>57</v>
      </c>
      <c r="C76" s="61"/>
      <c r="D76" s="131">
        <v>1481366</v>
      </c>
      <c r="E76" s="131">
        <v>1421823</v>
      </c>
      <c r="F76" s="60"/>
      <c r="G76" s="60"/>
    </row>
    <row r="77" spans="1:8" ht="25.5" customHeight="1">
      <c r="A77" s="60"/>
      <c r="B77" s="66" t="s">
        <v>73</v>
      </c>
      <c r="C77" s="61"/>
      <c r="D77" s="131">
        <v>0</v>
      </c>
      <c r="E77" s="131">
        <v>0</v>
      </c>
      <c r="F77" s="60"/>
      <c r="G77" s="60"/>
    </row>
    <row r="78" spans="1:8" ht="15.75" customHeight="1">
      <c r="A78" s="200" t="s">
        <v>74</v>
      </c>
      <c r="B78" s="49" t="s">
        <v>75</v>
      </c>
      <c r="C78" s="53"/>
      <c r="D78" s="74"/>
      <c r="E78" s="74"/>
      <c r="F78" s="74"/>
      <c r="G78" s="74"/>
    </row>
    <row r="79" spans="1:8" ht="16.5" customHeight="1">
      <c r="A79" s="60"/>
      <c r="B79" s="88" t="s">
        <v>76</v>
      </c>
      <c r="C79" s="50">
        <v>5</v>
      </c>
      <c r="D79" s="82">
        <v>403.40846375625654</v>
      </c>
      <c r="E79" s="82">
        <f>E80/E81</f>
        <v>602.39195285443441</v>
      </c>
      <c r="F79" s="56">
        <f>E79/D79*100</f>
        <v>149.32556130463482</v>
      </c>
      <c r="G79" s="56">
        <f>F79*C79/100</f>
        <v>7.4662780652317409</v>
      </c>
      <c r="H79" t="s">
        <v>14</v>
      </c>
    </row>
    <row r="80" spans="1:8" ht="39" customHeight="1">
      <c r="A80" s="60"/>
      <c r="B80" s="66" t="s">
        <v>77</v>
      </c>
      <c r="C80" s="61"/>
      <c r="D80" s="131">
        <v>1850</v>
      </c>
      <c r="E80" s="131">
        <v>1850</v>
      </c>
      <c r="F80" s="60"/>
      <c r="G80" s="60"/>
    </row>
    <row r="81" spans="1:8" ht="25.5" customHeight="1">
      <c r="A81" s="60"/>
      <c r="B81" s="66" t="s">
        <v>78</v>
      </c>
      <c r="C81" s="61"/>
      <c r="D81" s="131">
        <v>4.5859226223815401</v>
      </c>
      <c r="E81" s="131">
        <f>E83/E85</f>
        <v>3.0710901618684887</v>
      </c>
      <c r="F81" s="60"/>
      <c r="G81" s="60"/>
    </row>
    <row r="82" spans="1:8" ht="18" customHeight="1">
      <c r="A82" s="60"/>
      <c r="B82" s="66" t="s">
        <v>141</v>
      </c>
      <c r="C82" s="61"/>
      <c r="D82" s="131"/>
      <c r="E82" s="131"/>
      <c r="F82" s="60"/>
      <c r="G82" s="60"/>
    </row>
    <row r="83" spans="1:8" ht="40.5" customHeight="1">
      <c r="A83" s="60"/>
      <c r="B83" s="66" t="s">
        <v>79</v>
      </c>
      <c r="C83" s="61"/>
      <c r="D83" s="128">
        <v>6550165</v>
      </c>
      <c r="E83" s="131">
        <v>8772999</v>
      </c>
      <c r="F83" s="60"/>
      <c r="G83" s="60"/>
    </row>
    <row r="84" spans="1:8" ht="38.25" customHeight="1">
      <c r="A84" s="60"/>
      <c r="B84" s="66" t="s">
        <v>80</v>
      </c>
      <c r="C84" s="61"/>
      <c r="D84" s="131">
        <v>0</v>
      </c>
      <c r="E84" s="131">
        <v>0</v>
      </c>
      <c r="F84" s="60"/>
      <c r="G84" s="60"/>
    </row>
    <row r="85" spans="1:8" ht="49.5" customHeight="1">
      <c r="A85" s="60"/>
      <c r="B85" s="66" t="s">
        <v>81</v>
      </c>
      <c r="C85" s="61"/>
      <c r="D85" s="131">
        <v>1428320</v>
      </c>
      <c r="E85" s="131">
        <v>2856640</v>
      </c>
      <c r="F85" s="60"/>
      <c r="G85" s="60"/>
    </row>
    <row r="86" spans="1:8" ht="39.75" customHeight="1">
      <c r="A86" s="200" t="s">
        <v>82</v>
      </c>
      <c r="B86" s="88" t="s">
        <v>83</v>
      </c>
      <c r="C86" s="56">
        <v>5</v>
      </c>
      <c r="D86" s="74">
        <v>1.03</v>
      </c>
      <c r="E86" s="90">
        <v>0.19357532077428199</v>
      </c>
      <c r="F86" s="56">
        <f>E86/D86*100</f>
        <v>18.793720463522522</v>
      </c>
      <c r="G86" s="56">
        <f>F86*C86/100</f>
        <v>0.93968602317612604</v>
      </c>
      <c r="H86" t="s">
        <v>14</v>
      </c>
    </row>
    <row r="87" spans="1:8" ht="52.5" customHeight="1">
      <c r="A87" s="60"/>
      <c r="B87" s="66" t="s">
        <v>84</v>
      </c>
      <c r="C87" s="61"/>
      <c r="D87" s="131">
        <v>1261222</v>
      </c>
      <c r="E87" s="144">
        <v>6515407</v>
      </c>
      <c r="F87" s="60"/>
      <c r="G87" s="60"/>
    </row>
    <row r="88" spans="1:8" ht="19.5" customHeight="1">
      <c r="A88" s="60"/>
      <c r="B88" s="119" t="s">
        <v>85</v>
      </c>
      <c r="C88" s="155">
        <v>99.999825000000016</v>
      </c>
      <c r="D88" s="60"/>
      <c r="E88" s="60"/>
      <c r="F88" s="60"/>
      <c r="G88" s="68">
        <f>SUM(G15:G87)</f>
        <v>109.04328202900716</v>
      </c>
    </row>
    <row r="90" spans="1:8" ht="15">
      <c r="B90" s="20"/>
      <c r="C90" s="2"/>
    </row>
    <row r="91" spans="1:8" ht="15.75">
      <c r="B91" s="219" t="s">
        <v>175</v>
      </c>
      <c r="C91" s="219"/>
      <c r="E91" s="1" t="s">
        <v>87</v>
      </c>
    </row>
    <row r="92" spans="1:8" ht="15.75">
      <c r="B92" s="1"/>
      <c r="C92" s="21"/>
      <c r="D92" s="21"/>
    </row>
    <row r="93" spans="1:8" ht="15.75">
      <c r="B93" s="1" t="s">
        <v>88</v>
      </c>
      <c r="C93" s="21"/>
      <c r="E93" s="1" t="s">
        <v>167</v>
      </c>
    </row>
  </sheetData>
  <mergeCells count="16">
    <mergeCell ref="B91:C91"/>
    <mergeCell ref="D11:D13"/>
    <mergeCell ref="E11:E13"/>
    <mergeCell ref="F11:F13"/>
    <mergeCell ref="D2:G2"/>
    <mergeCell ref="D3:G3"/>
    <mergeCell ref="D4:G4"/>
    <mergeCell ref="A6:D6"/>
    <mergeCell ref="A7:G7"/>
    <mergeCell ref="A8:G8"/>
    <mergeCell ref="G11:G13"/>
    <mergeCell ref="D5:G5"/>
    <mergeCell ref="A9:G9"/>
    <mergeCell ref="A11:A13"/>
    <mergeCell ref="B11:B13"/>
    <mergeCell ref="C11:C13"/>
  </mergeCells>
  <pageMargins left="0.62992125984251968" right="0.15748031496062992" top="0.35433070866141736" bottom="0.31496062992125984" header="0.31496062992125984" footer="0.23"/>
  <pageSetup paperSize="9" scale="9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C000"/>
  </sheetPr>
  <dimension ref="A1:H53"/>
  <sheetViews>
    <sheetView zoomScale="90" zoomScaleNormal="90" workbookViewId="0">
      <selection activeCell="G50" sqref="G50"/>
    </sheetView>
  </sheetViews>
  <sheetFormatPr defaultRowHeight="12.75"/>
  <cols>
    <col min="1" max="1" width="4.85546875" customWidth="1"/>
    <col min="2" max="2" width="32.85546875" customWidth="1"/>
    <col min="3" max="3" width="13.28515625" customWidth="1"/>
    <col min="4" max="4" width="14.28515625" customWidth="1"/>
    <col min="5" max="5" width="13.42578125" customWidth="1"/>
    <col min="6" max="6" width="13.28515625" customWidth="1"/>
    <col min="7" max="7" width="13.85546875" customWidth="1"/>
  </cols>
  <sheetData>
    <row r="1" spans="1:8" ht="18">
      <c r="A1" s="25" t="s">
        <v>0</v>
      </c>
      <c r="B1" s="25"/>
      <c r="C1" s="22"/>
      <c r="D1" s="22"/>
      <c r="E1" s="23"/>
      <c r="F1" s="23"/>
      <c r="G1" s="23"/>
    </row>
    <row r="2" spans="1:8" ht="15">
      <c r="A2" s="26" t="s">
        <v>90</v>
      </c>
      <c r="B2" s="26"/>
      <c r="C2" s="26"/>
      <c r="D2" s="26"/>
      <c r="E2" s="26"/>
      <c r="F2" s="204" t="s">
        <v>91</v>
      </c>
      <c r="G2" s="26"/>
    </row>
    <row r="3" spans="1:8" ht="15">
      <c r="A3" s="26" t="s">
        <v>2</v>
      </c>
      <c r="B3" s="26"/>
      <c r="C3" s="26"/>
      <c r="D3" s="26"/>
      <c r="E3" s="26"/>
      <c r="F3" s="204" t="s">
        <v>92</v>
      </c>
      <c r="G3" s="26"/>
    </row>
    <row r="4" spans="1:8" ht="27" customHeight="1">
      <c r="A4" s="20" t="s">
        <v>169</v>
      </c>
      <c r="B4" s="20"/>
      <c r="C4" s="26"/>
      <c r="D4" s="26"/>
      <c r="E4" s="26"/>
      <c r="F4" s="204" t="s">
        <v>93</v>
      </c>
      <c r="G4" s="26"/>
    </row>
    <row r="5" spans="1:8" ht="15">
      <c r="A5" s="26" t="s">
        <v>184</v>
      </c>
      <c r="B5" s="26"/>
      <c r="C5" s="26"/>
      <c r="D5" s="26"/>
      <c r="E5" s="269" t="s">
        <v>185</v>
      </c>
      <c r="F5" s="269"/>
      <c r="G5" s="269"/>
    </row>
    <row r="6" spans="1:8" ht="15">
      <c r="A6" s="24"/>
      <c r="B6" s="26"/>
      <c r="C6" s="26"/>
      <c r="D6" s="26"/>
      <c r="E6" s="26"/>
      <c r="F6" s="26"/>
      <c r="G6" s="26"/>
    </row>
    <row r="7" spans="1:8" ht="15">
      <c r="A7" s="269" t="s">
        <v>3</v>
      </c>
      <c r="B7" s="269"/>
      <c r="C7" s="269"/>
      <c r="D7" s="269"/>
      <c r="E7" s="269"/>
      <c r="F7" s="269"/>
      <c r="G7" s="269"/>
    </row>
    <row r="8" spans="1:8" ht="15">
      <c r="A8" s="270" t="s">
        <v>94</v>
      </c>
      <c r="B8" s="270"/>
      <c r="C8" s="270"/>
      <c r="D8" s="270"/>
      <c r="E8" s="270"/>
      <c r="F8" s="270"/>
      <c r="G8" s="270"/>
    </row>
    <row r="9" spans="1:8" ht="15">
      <c r="A9" s="267" t="s">
        <v>186</v>
      </c>
      <c r="B9" s="267"/>
      <c r="C9" s="267"/>
      <c r="D9" s="267"/>
      <c r="E9" s="267"/>
      <c r="F9" s="267"/>
      <c r="G9" s="267"/>
    </row>
    <row r="10" spans="1:8" ht="13.5" thickBot="1"/>
    <row r="11" spans="1:8" ht="12.75" customHeight="1">
      <c r="A11" s="277" t="s">
        <v>4</v>
      </c>
      <c r="B11" s="280" t="s">
        <v>5</v>
      </c>
      <c r="C11" s="271" t="s">
        <v>6</v>
      </c>
      <c r="D11" s="271" t="s">
        <v>180</v>
      </c>
      <c r="E11" s="271" t="s">
        <v>181</v>
      </c>
      <c r="F11" s="271" t="s">
        <v>7</v>
      </c>
      <c r="G11" s="274" t="s">
        <v>187</v>
      </c>
    </row>
    <row r="12" spans="1:8">
      <c r="A12" s="278"/>
      <c r="B12" s="281"/>
      <c r="C12" s="281"/>
      <c r="D12" s="272"/>
      <c r="E12" s="272"/>
      <c r="F12" s="272"/>
      <c r="G12" s="275"/>
    </row>
    <row r="13" spans="1:8" ht="36" customHeight="1" thickBot="1">
      <c r="A13" s="279"/>
      <c r="B13" s="282"/>
      <c r="C13" s="282"/>
      <c r="D13" s="273"/>
      <c r="E13" s="273"/>
      <c r="F13" s="273"/>
      <c r="G13" s="276"/>
    </row>
    <row r="14" spans="1:8" ht="13.5" thickBot="1">
      <c r="A14" s="211"/>
      <c r="B14" s="212"/>
      <c r="C14" s="198" t="s">
        <v>8</v>
      </c>
      <c r="D14" s="199" t="s">
        <v>9</v>
      </c>
      <c r="E14" s="199" t="s">
        <v>10</v>
      </c>
      <c r="F14" s="199" t="s">
        <v>11</v>
      </c>
      <c r="G14" s="213"/>
    </row>
    <row r="15" spans="1:8" ht="51">
      <c r="A15" s="215" t="s">
        <v>12</v>
      </c>
      <c r="B15" s="208" t="s">
        <v>95</v>
      </c>
      <c r="C15" s="209"/>
      <c r="D15" s="210"/>
      <c r="E15" s="209"/>
      <c r="F15" s="209"/>
      <c r="G15" s="214"/>
    </row>
    <row r="16" spans="1:8" ht="15">
      <c r="A16" s="96"/>
      <c r="B16" s="116" t="s">
        <v>96</v>
      </c>
      <c r="C16" s="50">
        <v>20</v>
      </c>
      <c r="D16" s="50">
        <v>0.31970186208795337</v>
      </c>
      <c r="E16" s="50">
        <f t="shared" ref="E16" si="0">E17/E18</f>
        <v>0.60990576911573102</v>
      </c>
      <c r="F16" s="56">
        <f>D16/E16*100</f>
        <v>52.418238730791408</v>
      </c>
      <c r="G16" s="57">
        <f>F16*C16/100</f>
        <v>10.483647746158281</v>
      </c>
      <c r="H16" t="s">
        <v>28</v>
      </c>
    </row>
    <row r="17" spans="1:8" ht="38.25">
      <c r="A17" s="59"/>
      <c r="B17" s="66" t="s">
        <v>97</v>
      </c>
      <c r="C17" s="155"/>
      <c r="D17" s="131">
        <v>10451817</v>
      </c>
      <c r="E17" s="131">
        <v>16720957</v>
      </c>
      <c r="F17" s="60"/>
      <c r="G17" s="63"/>
    </row>
    <row r="18" spans="1:8" ht="38.25">
      <c r="A18" s="59"/>
      <c r="B18" s="119" t="s">
        <v>98</v>
      </c>
      <c r="C18" s="155"/>
      <c r="D18" s="131">
        <v>32692387</v>
      </c>
      <c r="E18" s="131">
        <v>27415640</v>
      </c>
      <c r="F18" s="60"/>
      <c r="G18" s="63"/>
    </row>
    <row r="19" spans="1:8" ht="25.5">
      <c r="A19" s="48" t="s">
        <v>26</v>
      </c>
      <c r="B19" s="49" t="s">
        <v>99</v>
      </c>
      <c r="C19" s="50"/>
      <c r="D19" s="56"/>
      <c r="E19" s="74"/>
      <c r="F19" s="74"/>
      <c r="G19" s="77"/>
    </row>
    <row r="20" spans="1:8" ht="15">
      <c r="A20" s="48"/>
      <c r="B20" s="125" t="s">
        <v>100</v>
      </c>
      <c r="C20" s="50">
        <v>10</v>
      </c>
      <c r="D20" s="50">
        <v>0.12360497055606039</v>
      </c>
      <c r="E20" s="50">
        <f t="shared" ref="E20" si="1">E21/E22</f>
        <v>0.14657750959051336</v>
      </c>
      <c r="F20" s="56">
        <f>E20/D20*100</f>
        <v>118.58544921867353</v>
      </c>
      <c r="G20" s="57">
        <f>F20*C20/100</f>
        <v>11.858544921867354</v>
      </c>
      <c r="H20" t="s">
        <v>14</v>
      </c>
    </row>
    <row r="21" spans="1:8" ht="89.25">
      <c r="A21" s="3"/>
      <c r="B21" s="10" t="s">
        <v>101</v>
      </c>
      <c r="C21" s="14"/>
      <c r="D21" s="131">
        <v>2749045</v>
      </c>
      <c r="E21" s="131">
        <v>1567600</v>
      </c>
      <c r="F21" s="60"/>
      <c r="G21" s="63"/>
    </row>
    <row r="22" spans="1:8" ht="89.25">
      <c r="A22" s="16"/>
      <c r="B22" s="13" t="s">
        <v>102</v>
      </c>
      <c r="C22" s="14"/>
      <c r="D22" s="131">
        <v>22240570</v>
      </c>
      <c r="E22" s="131">
        <f>E18-E17</f>
        <v>10694683</v>
      </c>
      <c r="F22" s="60"/>
      <c r="G22" s="63"/>
    </row>
    <row r="23" spans="1:8">
      <c r="A23" s="73" t="s">
        <v>33</v>
      </c>
      <c r="B23" s="49" t="s">
        <v>103</v>
      </c>
      <c r="C23" s="50"/>
      <c r="D23" s="74"/>
      <c r="E23" s="53"/>
      <c r="F23" s="53"/>
      <c r="G23" s="54"/>
    </row>
    <row r="24" spans="1:8" ht="15">
      <c r="A24" s="70"/>
      <c r="B24" s="125" t="s">
        <v>104</v>
      </c>
      <c r="C24" s="50">
        <v>20</v>
      </c>
      <c r="D24" s="126">
        <v>205311.18302387267</v>
      </c>
      <c r="E24" s="51">
        <f>E25/E26</f>
        <v>254049.87765957447</v>
      </c>
      <c r="F24" s="56">
        <f>E24/D24*100</f>
        <v>123.73893809283378</v>
      </c>
      <c r="G24" s="57">
        <f>F24*C24/100</f>
        <v>24.747787618566754</v>
      </c>
      <c r="H24" t="s">
        <v>14</v>
      </c>
    </row>
    <row r="25" spans="1:8" ht="63.75">
      <c r="A25" s="70"/>
      <c r="B25" s="66" t="s">
        <v>105</v>
      </c>
      <c r="C25" s="155"/>
      <c r="D25" s="217">
        <v>77402316</v>
      </c>
      <c r="E25" s="131">
        <v>95522754</v>
      </c>
      <c r="F25" s="60"/>
      <c r="G25" s="63"/>
    </row>
    <row r="26" spans="1:8" ht="38.25">
      <c r="A26" s="70"/>
      <c r="B26" s="87" t="s">
        <v>106</v>
      </c>
      <c r="C26" s="155"/>
      <c r="D26" s="128">
        <v>377</v>
      </c>
      <c r="E26" s="131">
        <v>376</v>
      </c>
      <c r="F26" s="60"/>
      <c r="G26" s="63"/>
    </row>
    <row r="27" spans="1:8">
      <c r="A27" s="48" t="s">
        <v>37</v>
      </c>
      <c r="B27" s="49" t="s">
        <v>107</v>
      </c>
      <c r="C27" s="50"/>
      <c r="D27" s="129"/>
      <c r="E27" s="74"/>
      <c r="F27" s="74"/>
      <c r="G27" s="77"/>
    </row>
    <row r="28" spans="1:8" ht="15">
      <c r="A28" s="76"/>
      <c r="B28" s="125" t="s">
        <v>108</v>
      </c>
      <c r="C28" s="50">
        <v>10</v>
      </c>
      <c r="D28" s="130">
        <v>4.5318743710675529</v>
      </c>
      <c r="E28" s="50">
        <f t="shared" ref="E28" si="2">E29/E30</f>
        <v>8.448411451247452</v>
      </c>
      <c r="F28" s="56">
        <f>E28/D28*100</f>
        <v>186.42201348704418</v>
      </c>
      <c r="G28" s="57">
        <f>F28*C28/100</f>
        <v>18.642201348704418</v>
      </c>
      <c r="H28" t="s">
        <v>14</v>
      </c>
    </row>
    <row r="29" spans="1:8" ht="63.75">
      <c r="A29" s="70"/>
      <c r="B29" s="66" t="s">
        <v>105</v>
      </c>
      <c r="C29" s="155"/>
      <c r="D29" s="128">
        <v>77402316</v>
      </c>
      <c r="E29" s="128">
        <v>95522754</v>
      </c>
      <c r="F29" s="60"/>
      <c r="G29" s="63"/>
    </row>
    <row r="30" spans="1:8" ht="102">
      <c r="A30" s="70"/>
      <c r="B30" s="66" t="s">
        <v>109</v>
      </c>
      <c r="C30" s="155"/>
      <c r="D30" s="128">
        <v>17079537</v>
      </c>
      <c r="E30" s="128">
        <f>(11918504+10694683)/2</f>
        <v>11306593.5</v>
      </c>
      <c r="F30" s="60"/>
      <c r="G30" s="63"/>
    </row>
    <row r="31" spans="1:8" ht="63.75">
      <c r="A31" s="73" t="s">
        <v>39</v>
      </c>
      <c r="B31" s="49" t="s">
        <v>110</v>
      </c>
      <c r="C31" s="50"/>
      <c r="D31" s="129"/>
      <c r="E31" s="53"/>
      <c r="F31" s="53"/>
      <c r="G31" s="54"/>
    </row>
    <row r="32" spans="1:8" ht="25.5">
      <c r="A32" s="70"/>
      <c r="B32" s="49" t="s">
        <v>111</v>
      </c>
      <c r="C32" s="50">
        <v>15</v>
      </c>
      <c r="D32" s="132">
        <v>0.80312036335730419</v>
      </c>
      <c r="E32" s="50">
        <f t="shared" ref="E32" si="3">E33/E34</f>
        <v>0.84648292728737784</v>
      </c>
      <c r="F32" s="56">
        <f>E32/D32*100</f>
        <v>105.39926092133986</v>
      </c>
      <c r="G32" s="57">
        <f>F32*C32/100</f>
        <v>15.80988913820098</v>
      </c>
      <c r="H32" t="s">
        <v>14</v>
      </c>
    </row>
    <row r="33" spans="1:8" ht="51">
      <c r="A33" s="70"/>
      <c r="B33" s="10" t="s">
        <v>112</v>
      </c>
      <c r="C33" s="14"/>
      <c r="D33" s="128">
        <v>77402316</v>
      </c>
      <c r="E33" s="128">
        <v>81581469</v>
      </c>
      <c r="F33" s="4"/>
      <c r="G33" s="134"/>
    </row>
    <row r="34" spans="1:8" ht="102">
      <c r="A34" s="70"/>
      <c r="B34" s="10" t="s">
        <v>113</v>
      </c>
      <c r="C34" s="14"/>
      <c r="D34" s="128">
        <v>96376981</v>
      </c>
      <c r="E34" s="128">
        <f>D34</f>
        <v>96376981</v>
      </c>
      <c r="F34" s="4"/>
      <c r="G34" s="134"/>
    </row>
    <row r="35" spans="1:8" ht="38.25">
      <c r="A35" s="70"/>
      <c r="B35" s="10" t="s">
        <v>114</v>
      </c>
      <c r="C35" s="14"/>
      <c r="D35" s="128">
        <v>0</v>
      </c>
      <c r="E35" s="128">
        <v>0</v>
      </c>
      <c r="F35" s="4"/>
      <c r="G35" s="134"/>
    </row>
    <row r="36" spans="1:8" ht="38.25">
      <c r="A36" s="70"/>
      <c r="B36" s="10" t="s">
        <v>115</v>
      </c>
      <c r="C36" s="14"/>
      <c r="D36" s="128">
        <v>0</v>
      </c>
      <c r="E36" s="128">
        <v>0</v>
      </c>
      <c r="F36" s="4"/>
      <c r="G36" s="134"/>
    </row>
    <row r="37" spans="1:8" ht="38.25">
      <c r="A37" s="73" t="s">
        <v>45</v>
      </c>
      <c r="B37" s="49" t="s">
        <v>116</v>
      </c>
      <c r="C37" s="50"/>
      <c r="D37" s="129"/>
      <c r="E37" s="74"/>
      <c r="F37" s="74"/>
      <c r="G37" s="91"/>
    </row>
    <row r="38" spans="1:8" ht="15">
      <c r="A38" s="70"/>
      <c r="B38" s="141" t="s">
        <v>117</v>
      </c>
      <c r="C38" s="50">
        <v>15</v>
      </c>
      <c r="D38" s="130">
        <v>0.11797440221581466</v>
      </c>
      <c r="E38" s="132">
        <f t="shared" ref="E38" si="4">E39/E40</f>
        <v>9.6444501680758452E-2</v>
      </c>
      <c r="F38" s="56">
        <f>D38/E38*100</f>
        <v>122.32361633877531</v>
      </c>
      <c r="G38" s="57">
        <f>F38*C38/100</f>
        <v>18.348542450816296</v>
      </c>
      <c r="H38" t="s">
        <v>28</v>
      </c>
    </row>
    <row r="39" spans="1:8" ht="63.75">
      <c r="A39" s="70"/>
      <c r="B39" s="66" t="s">
        <v>118</v>
      </c>
      <c r="C39" s="155"/>
      <c r="D39" s="131">
        <v>7092175</v>
      </c>
      <c r="E39" s="144">
        <v>6947764.0674900003</v>
      </c>
      <c r="F39" s="60"/>
      <c r="G39" s="147"/>
    </row>
    <row r="40" spans="1:8" ht="25.5">
      <c r="A40" s="70"/>
      <c r="B40" s="66" t="s">
        <v>119</v>
      </c>
      <c r="C40" s="155"/>
      <c r="D40" s="128">
        <v>60116219</v>
      </c>
      <c r="E40" s="144">
        <v>72038985.597000003</v>
      </c>
      <c r="F40" s="60"/>
      <c r="G40" s="147"/>
    </row>
    <row r="41" spans="1:8" ht="25.5">
      <c r="A41" s="73" t="s">
        <v>50</v>
      </c>
      <c r="B41" s="49" t="s">
        <v>120</v>
      </c>
      <c r="C41" s="50"/>
      <c r="D41" s="129"/>
      <c r="E41" s="53"/>
      <c r="F41" s="53"/>
      <c r="G41" s="57"/>
    </row>
    <row r="42" spans="1:8" ht="15">
      <c r="A42" s="70"/>
      <c r="B42" s="125" t="s">
        <v>121</v>
      </c>
      <c r="C42" s="50">
        <v>5</v>
      </c>
      <c r="D42" s="130">
        <v>73.154954907161795</v>
      </c>
      <c r="E42" s="132">
        <f>E43/E44</f>
        <v>71.821066489361712</v>
      </c>
      <c r="F42" s="56">
        <f>E42/D42*100</f>
        <v>98.17662601324426</v>
      </c>
      <c r="G42" s="57">
        <f>F42*C42/100</f>
        <v>4.9088313006622126</v>
      </c>
      <c r="H42" t="s">
        <v>14</v>
      </c>
    </row>
    <row r="43" spans="1:8" ht="25.5">
      <c r="A43" s="70"/>
      <c r="B43" s="66" t="s">
        <v>122</v>
      </c>
      <c r="C43" s="155"/>
      <c r="D43" s="216">
        <v>27579.417999999998</v>
      </c>
      <c r="E43" s="216">
        <v>27004.721000000001</v>
      </c>
      <c r="F43" s="60"/>
      <c r="G43" s="147"/>
    </row>
    <row r="44" spans="1:8" ht="38.25">
      <c r="A44" s="70"/>
      <c r="B44" s="66" t="s">
        <v>123</v>
      </c>
      <c r="C44" s="155"/>
      <c r="D44" s="216">
        <v>377</v>
      </c>
      <c r="E44" s="216">
        <v>376</v>
      </c>
      <c r="F44" s="60"/>
      <c r="G44" s="147"/>
    </row>
    <row r="45" spans="1:8">
      <c r="A45" s="48" t="s">
        <v>53</v>
      </c>
      <c r="B45" s="49" t="s">
        <v>124</v>
      </c>
      <c r="C45" s="50"/>
      <c r="D45" s="129"/>
      <c r="E45" s="53"/>
      <c r="F45" s="53"/>
      <c r="G45" s="57"/>
    </row>
    <row r="46" spans="1:8" ht="15">
      <c r="A46" s="48"/>
      <c r="B46" s="125" t="s">
        <v>125</v>
      </c>
      <c r="C46" s="50">
        <v>5</v>
      </c>
      <c r="D46" s="132">
        <v>1.05</v>
      </c>
      <c r="E46" s="50">
        <f>374/381</f>
        <v>0.98162729658792647</v>
      </c>
      <c r="F46" s="56">
        <f>D46/E46*100</f>
        <v>106.96524064171125</v>
      </c>
      <c r="G46" s="57">
        <f>F46*C46/100</f>
        <v>5.3482620320855618</v>
      </c>
      <c r="H46" t="s">
        <v>28</v>
      </c>
    </row>
    <row r="47" spans="1:8" ht="38.25">
      <c r="A47" s="73"/>
      <c r="B47" s="66" t="s">
        <v>126</v>
      </c>
      <c r="C47" s="98"/>
      <c r="D47" s="144"/>
      <c r="E47" s="60"/>
      <c r="F47" s="60"/>
      <c r="G47" s="147"/>
    </row>
    <row r="48" spans="1:8" ht="16.5" thickBot="1">
      <c r="A48" s="101"/>
      <c r="B48" s="149" t="s">
        <v>85</v>
      </c>
      <c r="C48" s="150">
        <f>SUM(C16:C47)</f>
        <v>100</v>
      </c>
      <c r="D48" s="104"/>
      <c r="E48" s="104"/>
      <c r="F48" s="104"/>
      <c r="G48" s="107">
        <f>SUM(G15:G47)</f>
        <v>110.14770655706185</v>
      </c>
    </row>
    <row r="50" spans="2:5" ht="18">
      <c r="B50" s="108"/>
      <c r="C50" s="108"/>
    </row>
    <row r="51" spans="2:5" ht="15.75">
      <c r="B51" s="219" t="s">
        <v>175</v>
      </c>
      <c r="C51" s="219"/>
      <c r="E51" s="1" t="s">
        <v>87</v>
      </c>
    </row>
    <row r="52" spans="2:5" ht="15.75">
      <c r="B52" s="1"/>
      <c r="C52" s="21"/>
      <c r="D52" s="21"/>
    </row>
    <row r="53" spans="2:5" ht="15.75">
      <c r="B53" s="1" t="s">
        <v>88</v>
      </c>
      <c r="C53" s="21"/>
      <c r="E53" s="1" t="s">
        <v>167</v>
      </c>
    </row>
  </sheetData>
  <mergeCells count="12">
    <mergeCell ref="B51:C51"/>
    <mergeCell ref="E5:G5"/>
    <mergeCell ref="A7:G7"/>
    <mergeCell ref="A8:G8"/>
    <mergeCell ref="D11:D13"/>
    <mergeCell ref="E11:E13"/>
    <mergeCell ref="F11:F13"/>
    <mergeCell ref="G11:G13"/>
    <mergeCell ref="A9:G9"/>
    <mergeCell ref="A11:A13"/>
    <mergeCell ref="B11:B13"/>
    <mergeCell ref="C11:C13"/>
  </mergeCells>
  <pageMargins left="0.70866141732283472" right="0.19" top="0.72" bottom="0.39" header="0.31496062992125984" footer="0.31496062992125984"/>
  <pageSetup paperSize="9" scale="8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C000"/>
  </sheetPr>
  <dimension ref="A2:D17"/>
  <sheetViews>
    <sheetView tabSelected="1" workbookViewId="0">
      <selection activeCell="B9" sqref="B9"/>
    </sheetView>
  </sheetViews>
  <sheetFormatPr defaultRowHeight="12.75"/>
  <cols>
    <col min="1" max="1" width="55.140625" customWidth="1"/>
    <col min="2" max="2" width="30.85546875" customWidth="1"/>
  </cols>
  <sheetData>
    <row r="2" spans="1:4" ht="15.75">
      <c r="A2" s="255" t="s">
        <v>188</v>
      </c>
      <c r="B2" s="255"/>
    </row>
    <row r="3" spans="1:4" ht="15.75">
      <c r="A3" s="255" t="s">
        <v>127</v>
      </c>
      <c r="B3" s="255"/>
    </row>
    <row r="4" spans="1:4" ht="13.5" thickBot="1"/>
    <row r="5" spans="1:4" ht="47.25" customHeight="1" thickBot="1">
      <c r="A5" s="27" t="s">
        <v>128</v>
      </c>
      <c r="B5" s="28" t="s">
        <v>7</v>
      </c>
    </row>
    <row r="6" spans="1:4" ht="53.25" customHeight="1">
      <c r="A6" s="29" t="s">
        <v>129</v>
      </c>
      <c r="B6" s="30">
        <f>КПЭоснов18год!G88</f>
        <v>109.04328202900716</v>
      </c>
    </row>
    <row r="7" spans="1:4" ht="49.5" customHeight="1">
      <c r="A7" s="31" t="s">
        <v>130</v>
      </c>
      <c r="B7" s="32">
        <f>'КПЭдоп 18г год'!G48</f>
        <v>110.14770655706185</v>
      </c>
    </row>
    <row r="8" spans="1:4" ht="48" customHeight="1" thickBot="1">
      <c r="A8" s="33" t="s">
        <v>131</v>
      </c>
      <c r="B8" s="34">
        <f>(B6+B7)/2</f>
        <v>109.59549429303451</v>
      </c>
    </row>
    <row r="9" spans="1:4" ht="34.5" customHeight="1"/>
    <row r="10" spans="1:4" ht="15.75">
      <c r="A10" s="283" t="s">
        <v>133</v>
      </c>
      <c r="B10" s="283"/>
    </row>
    <row r="11" spans="1:4" ht="15.75" customHeight="1">
      <c r="A11" s="35" t="s">
        <v>132</v>
      </c>
      <c r="B11" s="194"/>
    </row>
    <row r="12" spans="1:4" ht="15.75">
      <c r="A12" s="36"/>
      <c r="B12" s="36"/>
    </row>
    <row r="13" spans="1:4" ht="15.75">
      <c r="A13" s="284" t="s">
        <v>176</v>
      </c>
      <c r="B13" s="284"/>
    </row>
    <row r="14" spans="1:4">
      <c r="A14" s="37"/>
      <c r="B14" s="37"/>
    </row>
    <row r="15" spans="1:4" ht="15.75">
      <c r="A15" s="284" t="s">
        <v>174</v>
      </c>
      <c r="B15" s="284"/>
      <c r="D15" s="1"/>
    </row>
    <row r="16" spans="1:4">
      <c r="A16" s="37"/>
      <c r="B16" s="37"/>
    </row>
    <row r="17" spans="1:1">
      <c r="A17" s="38"/>
    </row>
  </sheetData>
  <mergeCells count="5">
    <mergeCell ref="A2:B2"/>
    <mergeCell ref="A3:B3"/>
    <mergeCell ref="A10:B10"/>
    <mergeCell ref="A13:B13"/>
    <mergeCell ref="A15:B1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КПЭоснов18г утвержд</vt:lpstr>
      <vt:lpstr>КПЭдоп 18г утвержд</vt:lpstr>
      <vt:lpstr>КПЭоснов18год</vt:lpstr>
      <vt:lpstr>КПЭдоп 18г год</vt:lpstr>
      <vt:lpstr>СправкаИКЭ 18г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</dc:creator>
  <cp:lastModifiedBy>User</cp:lastModifiedBy>
  <cp:lastPrinted>2019-01-29T10:55:39Z</cp:lastPrinted>
  <dcterms:created xsi:type="dcterms:W3CDTF">2017-04-28T05:22:55Z</dcterms:created>
  <dcterms:modified xsi:type="dcterms:W3CDTF">2019-02-14T10:46:16Z</dcterms:modified>
</cp:coreProperties>
</file>