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7795" windowHeight="12600"/>
  </bookViews>
  <sheets>
    <sheet name="Интеграл коэф 9 мес 22" sheetId="3" r:id="rId1"/>
    <sheet name="КПЭ доп 9 мес 22" sheetId="2" r:id="rId2"/>
    <sheet name="КПЭ осн 9 месг22г" sheetId="1" r:id="rId3"/>
  </sheets>
  <externalReferences>
    <externalReference r:id="rId4"/>
    <externalReference r:id="rId5"/>
  </externalReferences>
  <definedNames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CollectDistributionSamples">2</definedName>
    <definedName name="RiskExcelReportsGoInNewWorkbook">FALSE</definedName>
    <definedName name="RiskExcelReportsToGenerate">7167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баланс" localSheetId="0">#REF!</definedName>
    <definedName name="баланс" localSheetId="1">#REF!</definedName>
    <definedName name="баланс" localSheetId="2">#REF!</definedName>
    <definedName name="баланс">#REF!</definedName>
    <definedName name="сирье" localSheetId="0">#REF!</definedName>
    <definedName name="сирье" localSheetId="1">#REF!</definedName>
    <definedName name="сирье" localSheetId="2">#REF!</definedName>
    <definedName name="сирье">#REF!</definedName>
    <definedName name="Сырье" localSheetId="0">#REF!</definedName>
    <definedName name="Сырье" localSheetId="1">#REF!</definedName>
    <definedName name="Сырье" localSheetId="2">#REF!</definedName>
    <definedName name="Сырье">#REF!</definedName>
    <definedName name="ыодлпфврж" localSheetId="0">#REF!</definedName>
    <definedName name="ыодлпфврж" localSheetId="1">#REF!</definedName>
    <definedName name="ыодлпфврж" localSheetId="2">#REF!</definedName>
    <definedName name="ыодлпфврж">#REF!</definedName>
  </definedNames>
  <calcPr calcId="145621"/>
</workbook>
</file>

<file path=xl/calcChain.xml><?xml version="1.0" encoding="utf-8"?>
<calcChain xmlns="http://schemas.openxmlformats.org/spreadsheetml/2006/main">
  <c r="B7" i="3" l="1"/>
  <c r="G39" i="1" l="1"/>
  <c r="F39" i="1"/>
  <c r="X108" i="2"/>
  <c r="Z105" i="2"/>
  <c r="Y105" i="2"/>
  <c r="Y104" i="2"/>
  <c r="Y106" i="2" s="1"/>
  <c r="Y107" i="2" s="1"/>
  <c r="V104" i="2"/>
  <c r="Z99" i="2"/>
  <c r="Y99" i="2"/>
  <c r="V99" i="2"/>
  <c r="H103" i="2"/>
  <c r="D87" i="2"/>
  <c r="C87" i="2"/>
  <c r="I86" i="2"/>
  <c r="F86" i="2"/>
  <c r="G86" i="2" s="1"/>
  <c r="H86" i="2" s="1"/>
  <c r="E86" i="2"/>
  <c r="I85" i="2"/>
  <c r="E85" i="2"/>
  <c r="F85" i="2" s="1"/>
  <c r="M84" i="2"/>
  <c r="Q84" i="2" s="1"/>
  <c r="I84" i="2"/>
  <c r="E84" i="2"/>
  <c r="I82" i="2"/>
  <c r="E82" i="2"/>
  <c r="P81" i="2"/>
  <c r="T81" i="2" s="1"/>
  <c r="N81" i="2"/>
  <c r="R81" i="2" s="1"/>
  <c r="I81" i="2"/>
  <c r="H81" i="2"/>
  <c r="G81" i="2"/>
  <c r="O81" i="2" s="1"/>
  <c r="S81" i="2" s="1"/>
  <c r="F81" i="2"/>
  <c r="E81" i="2"/>
  <c r="M81" i="2" s="1"/>
  <c r="Q81" i="2" s="1"/>
  <c r="I79" i="2"/>
  <c r="E79" i="2"/>
  <c r="I78" i="2"/>
  <c r="H78" i="2"/>
  <c r="G78" i="2"/>
  <c r="E78" i="2"/>
  <c r="O77" i="2"/>
  <c r="S77" i="2" s="1"/>
  <c r="M77" i="2"/>
  <c r="Q77" i="2" s="1"/>
  <c r="I77" i="2"/>
  <c r="H77" i="2"/>
  <c r="P77" i="2" s="1"/>
  <c r="T77" i="2" s="1"/>
  <c r="G77" i="2"/>
  <c r="F77" i="2"/>
  <c r="N77" i="2" s="1"/>
  <c r="R77" i="2" s="1"/>
  <c r="E77" i="2"/>
  <c r="I75" i="2"/>
  <c r="H75" i="2"/>
  <c r="G75" i="2"/>
  <c r="F75" i="2"/>
  <c r="E75" i="2"/>
  <c r="I74" i="2"/>
  <c r="F74" i="2"/>
  <c r="G74" i="2" s="1"/>
  <c r="E74" i="2"/>
  <c r="I73" i="2"/>
  <c r="M73" i="2" s="1"/>
  <c r="Q73" i="2" s="1"/>
  <c r="E73" i="2"/>
  <c r="I71" i="2"/>
  <c r="E71" i="2"/>
  <c r="I70" i="2"/>
  <c r="F70" i="2"/>
  <c r="G70" i="2" s="1"/>
  <c r="E70" i="2"/>
  <c r="I69" i="2"/>
  <c r="M69" i="2" s="1"/>
  <c r="Q69" i="2" s="1"/>
  <c r="E69" i="2"/>
  <c r="I67" i="2"/>
  <c r="E67" i="2"/>
  <c r="I66" i="2"/>
  <c r="F66" i="2"/>
  <c r="G66" i="2" s="1"/>
  <c r="E66" i="2"/>
  <c r="I65" i="2"/>
  <c r="M65" i="2" s="1"/>
  <c r="Q65" i="2" s="1"/>
  <c r="E65" i="2"/>
  <c r="I63" i="2"/>
  <c r="E63" i="2"/>
  <c r="I62" i="2"/>
  <c r="E62" i="2"/>
  <c r="O61" i="2"/>
  <c r="S61" i="2" s="1"/>
  <c r="M61" i="2"/>
  <c r="Q61" i="2" s="1"/>
  <c r="I61" i="2"/>
  <c r="H61" i="2"/>
  <c r="P61" i="2" s="1"/>
  <c r="T61" i="2" s="1"/>
  <c r="G61" i="2"/>
  <c r="F61" i="2"/>
  <c r="N61" i="2" s="1"/>
  <c r="R61" i="2" s="1"/>
  <c r="E61" i="2"/>
  <c r="I59" i="2"/>
  <c r="H59" i="2"/>
  <c r="G59" i="2"/>
  <c r="F59" i="2"/>
  <c r="E59" i="2"/>
  <c r="I58" i="2"/>
  <c r="E58" i="2"/>
  <c r="I57" i="2"/>
  <c r="F57" i="2"/>
  <c r="F56" i="2" s="1"/>
  <c r="N56" i="2" s="1"/>
  <c r="R56" i="2" s="1"/>
  <c r="E57" i="2"/>
  <c r="E56" i="2"/>
  <c r="I54" i="2"/>
  <c r="H54" i="2"/>
  <c r="G54" i="2"/>
  <c r="F54" i="2"/>
  <c r="E54" i="2"/>
  <c r="I53" i="2"/>
  <c r="E53" i="2"/>
  <c r="I52" i="2"/>
  <c r="E52" i="2"/>
  <c r="F52" i="2" s="1"/>
  <c r="E51" i="2"/>
  <c r="I49" i="2"/>
  <c r="E49" i="2"/>
  <c r="I48" i="2"/>
  <c r="E48" i="2"/>
  <c r="P47" i="2"/>
  <c r="T47" i="2" s="1"/>
  <c r="N47" i="2"/>
  <c r="R47" i="2" s="1"/>
  <c r="I47" i="2"/>
  <c r="M47" i="2" s="1"/>
  <c r="Q47" i="2" s="1"/>
  <c r="H47" i="2"/>
  <c r="G47" i="2"/>
  <c r="O47" i="2" s="1"/>
  <c r="S47" i="2" s="1"/>
  <c r="F47" i="2"/>
  <c r="E47" i="2"/>
  <c r="I45" i="2"/>
  <c r="H45" i="2"/>
  <c r="G45" i="2"/>
  <c r="F45" i="2"/>
  <c r="E45" i="2"/>
  <c r="I44" i="2"/>
  <c r="E44" i="2"/>
  <c r="F44" i="2" s="1"/>
  <c r="M43" i="2"/>
  <c r="Q43" i="2" s="1"/>
  <c r="I43" i="2"/>
  <c r="E43" i="2"/>
  <c r="I41" i="2"/>
  <c r="H41" i="2"/>
  <c r="G41" i="2"/>
  <c r="F41" i="2"/>
  <c r="E41" i="2"/>
  <c r="I40" i="2"/>
  <c r="F40" i="2"/>
  <c r="F39" i="2" s="1"/>
  <c r="N39" i="2" s="1"/>
  <c r="R39" i="2" s="1"/>
  <c r="E40" i="2"/>
  <c r="I39" i="2"/>
  <c r="M39" i="2" s="1"/>
  <c r="Q39" i="2" s="1"/>
  <c r="E39" i="2"/>
  <c r="I37" i="2"/>
  <c r="F37" i="2"/>
  <c r="G37" i="2" s="1"/>
  <c r="H37" i="2" s="1"/>
  <c r="E37" i="2"/>
  <c r="I36" i="2"/>
  <c r="E36" i="2"/>
  <c r="F36" i="2" s="1"/>
  <c r="G36" i="2" s="1"/>
  <c r="H36" i="2" s="1"/>
  <c r="I35" i="2"/>
  <c r="F35" i="2"/>
  <c r="G35" i="2" s="1"/>
  <c r="H35" i="2" s="1"/>
  <c r="E35" i="2"/>
  <c r="I34" i="2"/>
  <c r="E34" i="2"/>
  <c r="F34" i="2" s="1"/>
  <c r="I33" i="2"/>
  <c r="E33" i="2"/>
  <c r="I32" i="2"/>
  <c r="E32" i="2"/>
  <c r="F32" i="2" s="1"/>
  <c r="I31" i="2"/>
  <c r="E31" i="2"/>
  <c r="I29" i="2"/>
  <c r="E29" i="2"/>
  <c r="M29" i="2" s="1"/>
  <c r="Q29" i="2" s="1"/>
  <c r="E28" i="2"/>
  <c r="I26" i="2"/>
  <c r="E26" i="2"/>
  <c r="F26" i="2" s="1"/>
  <c r="G26" i="2" s="1"/>
  <c r="H26" i="2" s="1"/>
  <c r="I25" i="2"/>
  <c r="I28" i="2" s="1"/>
  <c r="E25" i="2"/>
  <c r="I24" i="2"/>
  <c r="M24" i="2" s="1"/>
  <c r="Q24" i="2" s="1"/>
  <c r="E24" i="2"/>
  <c r="I23" i="2"/>
  <c r="E23" i="2"/>
  <c r="I22" i="2"/>
  <c r="E22" i="2"/>
  <c r="I21" i="2"/>
  <c r="E21" i="2"/>
  <c r="F21" i="2" s="1"/>
  <c r="G21" i="2" s="1"/>
  <c r="H21" i="2" s="1"/>
  <c r="I20" i="2"/>
  <c r="E20" i="2"/>
  <c r="I19" i="2"/>
  <c r="E19" i="2"/>
  <c r="I18" i="2"/>
  <c r="E18" i="2"/>
  <c r="I17" i="2"/>
  <c r="F17" i="2"/>
  <c r="G17" i="2" s="1"/>
  <c r="H17" i="2" s="1"/>
  <c r="E17" i="2"/>
  <c r="I16" i="2"/>
  <c r="E16" i="2"/>
  <c r="F16" i="2" s="1"/>
  <c r="M14" i="2"/>
  <c r="Q14" i="2" s="1"/>
  <c r="I14" i="2"/>
  <c r="E14" i="2"/>
  <c r="E44" i="1"/>
  <c r="D44" i="1"/>
  <c r="E43" i="1"/>
  <c r="D43" i="1"/>
  <c r="E42" i="1"/>
  <c r="D42" i="1"/>
  <c r="E40" i="1"/>
  <c r="F40" i="1" s="1"/>
  <c r="G40" i="1" s="1"/>
  <c r="D40" i="1"/>
  <c r="C40" i="1"/>
  <c r="E39" i="1"/>
  <c r="D39" i="1"/>
  <c r="C39" i="1"/>
  <c r="E38" i="1"/>
  <c r="D38" i="1"/>
  <c r="E37" i="1"/>
  <c r="D37" i="1"/>
  <c r="E36" i="1"/>
  <c r="D36" i="1"/>
  <c r="E35" i="1"/>
  <c r="F35" i="1" s="1"/>
  <c r="G35" i="1" s="1"/>
  <c r="D35" i="1"/>
  <c r="C35" i="1"/>
  <c r="E33" i="1"/>
  <c r="D33" i="1"/>
  <c r="E32" i="1"/>
  <c r="D32" i="1"/>
  <c r="E31" i="1"/>
  <c r="D31" i="1"/>
  <c r="E30" i="1"/>
  <c r="F30" i="1" s="1"/>
  <c r="G30" i="1" s="1"/>
  <c r="D30" i="1"/>
  <c r="C30" i="1"/>
  <c r="E28" i="1"/>
  <c r="D28" i="1"/>
  <c r="E27" i="1"/>
  <c r="D27" i="1"/>
  <c r="E26" i="1"/>
  <c r="D26" i="1"/>
  <c r="E25" i="1"/>
  <c r="D25" i="1"/>
  <c r="E24" i="1"/>
  <c r="F24" i="1" s="1"/>
  <c r="G24" i="1" s="1"/>
  <c r="D24" i="1"/>
  <c r="C24" i="1"/>
  <c r="E22" i="1"/>
  <c r="D22" i="1"/>
  <c r="E21" i="1"/>
  <c r="D21" i="1"/>
  <c r="F20" i="1"/>
  <c r="G20" i="1" s="1"/>
  <c r="E20" i="1"/>
  <c r="D20" i="1"/>
  <c r="C20" i="1"/>
  <c r="E19" i="1"/>
  <c r="D19" i="1"/>
  <c r="E18" i="1"/>
  <c r="D18" i="1"/>
  <c r="E17" i="1"/>
  <c r="F17" i="1" s="1"/>
  <c r="G17" i="1" s="1"/>
  <c r="D17" i="1"/>
  <c r="C17" i="1"/>
  <c r="E15" i="1"/>
  <c r="F15" i="1" s="1"/>
  <c r="G15" i="1" s="1"/>
  <c r="D15" i="1"/>
  <c r="C15" i="1"/>
  <c r="E14" i="1"/>
  <c r="F14" i="1" s="1"/>
  <c r="G14" i="1" s="1"/>
  <c r="D14" i="1"/>
  <c r="C14" i="1"/>
  <c r="C45" i="1" s="1"/>
  <c r="Z104" i="2" l="1"/>
  <c r="Z106" i="2" s="1"/>
  <c r="Z107" i="2" s="1"/>
  <c r="G16" i="2"/>
  <c r="F23" i="2"/>
  <c r="G32" i="2"/>
  <c r="F33" i="2"/>
  <c r="F31" i="2" s="1"/>
  <c r="F29" i="2" s="1"/>
  <c r="N29" i="2" s="1"/>
  <c r="R29" i="2" s="1"/>
  <c r="G34" i="2"/>
  <c r="G52" i="2"/>
  <c r="F51" i="2"/>
  <c r="N51" i="2" s="1"/>
  <c r="R51" i="2" s="1"/>
  <c r="H74" i="2"/>
  <c r="H73" i="2" s="1"/>
  <c r="P73" i="2" s="1"/>
  <c r="T73" i="2" s="1"/>
  <c r="G73" i="2"/>
  <c r="O73" i="2" s="1"/>
  <c r="S73" i="2" s="1"/>
  <c r="G85" i="2"/>
  <c r="F84" i="2"/>
  <c r="N84" i="2" s="1"/>
  <c r="R84" i="2" s="1"/>
  <c r="H70" i="2"/>
  <c r="H69" i="2" s="1"/>
  <c r="P69" i="2" s="1"/>
  <c r="T69" i="2" s="1"/>
  <c r="G69" i="2"/>
  <c r="O69" i="2" s="1"/>
  <c r="S69" i="2" s="1"/>
  <c r="G44" i="2"/>
  <c r="F43" i="2"/>
  <c r="N43" i="2" s="1"/>
  <c r="R43" i="2" s="1"/>
  <c r="H66" i="2"/>
  <c r="H65" i="2" s="1"/>
  <c r="P65" i="2" s="1"/>
  <c r="T65" i="2" s="1"/>
  <c r="G65" i="2"/>
  <c r="O65" i="2" s="1"/>
  <c r="S65" i="2" s="1"/>
  <c r="G40" i="2"/>
  <c r="G57" i="2"/>
  <c r="F65" i="2"/>
  <c r="N65" i="2" s="1"/>
  <c r="R65" i="2" s="1"/>
  <c r="F69" i="2"/>
  <c r="N69" i="2" s="1"/>
  <c r="R69" i="2" s="1"/>
  <c r="F73" i="2"/>
  <c r="N73" i="2" s="1"/>
  <c r="R73" i="2" s="1"/>
  <c r="G45" i="1"/>
  <c r="B5" i="3" l="1"/>
  <c r="G56" i="2"/>
  <c r="O56" i="2" s="1"/>
  <c r="S56" i="2" s="1"/>
  <c r="H57" i="2"/>
  <c r="H56" i="2" s="1"/>
  <c r="P56" i="2" s="1"/>
  <c r="T56" i="2" s="1"/>
  <c r="G23" i="2"/>
  <c r="H16" i="2"/>
  <c r="H23" i="2" s="1"/>
  <c r="G39" i="2"/>
  <c r="O39" i="2" s="1"/>
  <c r="S39" i="2" s="1"/>
  <c r="H40" i="2"/>
  <c r="H39" i="2" s="1"/>
  <c r="P39" i="2" s="1"/>
  <c r="T39" i="2" s="1"/>
  <c r="G43" i="2"/>
  <c r="O43" i="2" s="1"/>
  <c r="S43" i="2" s="1"/>
  <c r="H44" i="2"/>
  <c r="H43" i="2" s="1"/>
  <c r="P43" i="2" s="1"/>
  <c r="T43" i="2" s="1"/>
  <c r="G84" i="2"/>
  <c r="O84" i="2" s="1"/>
  <c r="S84" i="2" s="1"/>
  <c r="H85" i="2"/>
  <c r="H84" i="2" s="1"/>
  <c r="P84" i="2" s="1"/>
  <c r="T84" i="2" s="1"/>
  <c r="G51" i="2"/>
  <c r="O51" i="2" s="1"/>
  <c r="S51" i="2" s="1"/>
  <c r="H52" i="2"/>
  <c r="H51" i="2" s="1"/>
  <c r="P51" i="2" s="1"/>
  <c r="T51" i="2" s="1"/>
  <c r="H32" i="2"/>
  <c r="H31" i="2" s="1"/>
  <c r="H29" i="2" s="1"/>
  <c r="P29" i="2" s="1"/>
  <c r="T29" i="2" s="1"/>
  <c r="G33" i="2"/>
  <c r="G31" i="2" s="1"/>
  <c r="H34" i="2"/>
  <c r="H33" i="2" s="1"/>
  <c r="F24" i="2"/>
  <c r="N24" i="2" s="1"/>
  <c r="R24" i="2" s="1"/>
  <c r="F14" i="2"/>
  <c r="N14" i="2" s="1"/>
  <c r="R14" i="2" s="1"/>
  <c r="F25" i="2"/>
  <c r="F28" i="2"/>
  <c r="I56" i="2" l="1"/>
  <c r="M56" i="2" s="1"/>
  <c r="Q56" i="2" s="1"/>
  <c r="I51" i="2"/>
  <c r="M51" i="2" s="1"/>
  <c r="Q51" i="2" s="1"/>
  <c r="Q88" i="2" s="1"/>
  <c r="O29" i="2"/>
  <c r="S29" i="2" s="1"/>
  <c r="G29" i="2"/>
  <c r="H28" i="2"/>
  <c r="H14" i="2"/>
  <c r="P14" i="2" s="1"/>
  <c r="T14" i="2" s="1"/>
  <c r="H25" i="2"/>
  <c r="H24" i="2"/>
  <c r="P24" i="2" s="1"/>
  <c r="T24" i="2" s="1"/>
  <c r="G24" i="2"/>
  <c r="O24" i="2" s="1"/>
  <c r="S24" i="2" s="1"/>
  <c r="G28" i="2"/>
  <c r="G14" i="2"/>
  <c r="O14" i="2" s="1"/>
  <c r="S14" i="2" s="1"/>
  <c r="S88" i="2" s="1"/>
  <c r="G25" i="2"/>
  <c r="R88" i="2"/>
  <c r="B6" i="3" l="1"/>
  <c r="T88" i="2"/>
</calcChain>
</file>

<file path=xl/sharedStrings.xml><?xml version="1.0" encoding="utf-8"?>
<sst xmlns="http://schemas.openxmlformats.org/spreadsheetml/2006/main" count="252" uniqueCount="176">
  <si>
    <t xml:space="preserve">               " Одобрен "</t>
  </si>
  <si>
    <t>"Утверждаю"</t>
  </si>
  <si>
    <t xml:space="preserve"> Наблюдательным Советом</t>
  </si>
  <si>
    <t>И.о.председателя правления</t>
  </si>
  <si>
    <t>Председатель Наблюдательного Совета</t>
  </si>
  <si>
    <t xml:space="preserve"> АО "Biokimyo"</t>
  </si>
  <si>
    <t>________________Р.А.Аликулов</t>
  </si>
  <si>
    <t>"_____"______________2022 г</t>
  </si>
  <si>
    <t>ПЕРЕЧЕНЬ</t>
  </si>
  <si>
    <t xml:space="preserve">                                                                                                   основных ключевых показателей эффективности по  АО "Biokimyo"за 9 месяцев 2022год                                                                                               </t>
  </si>
  <si>
    <t>№</t>
  </si>
  <si>
    <t>Показатель</t>
  </si>
  <si>
    <t>Удельный вес на 1кв 2022г</t>
  </si>
  <si>
    <t>9 месяцев 2022г</t>
  </si>
  <si>
    <t>Прогноз</t>
  </si>
  <si>
    <t>Факт</t>
  </si>
  <si>
    <t>% выполнения</t>
  </si>
  <si>
    <t>КПЭ F=E*B/100</t>
  </si>
  <si>
    <t>В</t>
  </si>
  <si>
    <t>С</t>
  </si>
  <si>
    <t>D</t>
  </si>
  <si>
    <t>Е</t>
  </si>
  <si>
    <t>I</t>
  </si>
  <si>
    <t>Выполнение прогноза чистой выручки от реализации</t>
  </si>
  <si>
    <t>D/С*100</t>
  </si>
  <si>
    <t>II</t>
  </si>
  <si>
    <t xml:space="preserve">Выполнение прогноза чистой прибыли </t>
  </si>
  <si>
    <t>III</t>
  </si>
  <si>
    <t>Рентабельность активов</t>
  </si>
  <si>
    <t>Крр= Пудн/Аср</t>
  </si>
  <si>
    <t>1. Пудн- прибыль до уплаты налога на прибыль (гр 5, стр 240 или убыток со знаком минус гр 6 стр240 формы№2 " Отчет о финансовых результатах")</t>
  </si>
  <si>
    <t xml:space="preserve">2. Аср- среднеарифметическая величина стоимости активов, расчитываемая по формуле             Аср=(А1+А2)/2, где                                     А1-стоимость активов на начало периода(гр3 стр 400 формы№1                                " Бухгалтерский баланс";                                    А2 - стоимость активов на конец периода(гр4 стр 400 формы№1                            " Бухгалтерский баланс";                    </t>
  </si>
  <si>
    <t>IV</t>
  </si>
  <si>
    <t xml:space="preserve">Снижение себестоимости продукции (в процентах к установленному заданию) З=СП/ТПх100       </t>
  </si>
  <si>
    <t>C/D*100</t>
  </si>
  <si>
    <t xml:space="preserve"> Сп- сумма полной себестоимости товарной продукции,   по ф№2 стр 020                                        </t>
  </si>
  <si>
    <t xml:space="preserve">        Тп- сумма товарной продукции в действующих ценах по ф№2 стр 010</t>
  </si>
  <si>
    <t>V</t>
  </si>
  <si>
    <t>Коэффициент использования производственных мощностей (ниже 0,5 ,   то низкий уровень использования производственных мощностей)</t>
  </si>
  <si>
    <t>Ким=Qфакт / ((Qпроект-(Qаренд+Qконсерв))</t>
  </si>
  <si>
    <t>D/С*101</t>
  </si>
  <si>
    <r>
      <rPr>
        <b/>
        <sz val="10"/>
        <rFont val="Times New Roman"/>
        <family val="1"/>
        <charset val="204"/>
      </rPr>
      <t xml:space="preserve">Qфакт </t>
    </r>
    <r>
      <rPr>
        <sz val="10"/>
        <rFont val="Times New Roman"/>
        <family val="1"/>
        <charset val="204"/>
      </rPr>
      <t>- фактический объем выпущенной продукции за отчетный период в сопоставимом стоимостном выражении</t>
    </r>
  </si>
  <si>
    <r>
      <rPr>
        <b/>
        <sz val="10"/>
        <rFont val="Times New Roman"/>
        <family val="1"/>
        <charset val="204"/>
      </rPr>
      <t>Qпроект</t>
    </r>
    <r>
      <rPr>
        <sz val="10"/>
        <rFont val="Times New Roman"/>
        <family val="1"/>
        <charset val="204"/>
      </rPr>
      <t>- максимальный объём выпуска продукции за установленный период времени в сопоставимом стоимостном выражении,который может достигнут при полном использовании основного технологического оборудования</t>
    </r>
  </si>
  <si>
    <r>
      <rPr>
        <b/>
        <sz val="10"/>
        <rFont val="Times New Roman"/>
        <family val="1"/>
        <charset val="204"/>
      </rPr>
      <t>Qаренд</t>
    </r>
    <r>
      <rPr>
        <sz val="10"/>
        <rFont val="Times New Roman"/>
        <family val="1"/>
        <charset val="204"/>
      </rPr>
      <t>-- объёмы продукции (сопоставимые ), приходящиеся на мощности , сданные в аренду</t>
    </r>
  </si>
  <si>
    <r>
      <rPr>
        <b/>
        <sz val="10"/>
        <rFont val="Times New Roman"/>
        <family val="1"/>
        <charset val="204"/>
      </rPr>
      <t xml:space="preserve">Qконсерв </t>
    </r>
    <r>
      <rPr>
        <sz val="10"/>
        <rFont val="Times New Roman"/>
        <family val="1"/>
        <charset val="204"/>
      </rPr>
      <t>- объёмы продукции (сопоставимые ), приходящиеся на законсервированные мощности</t>
    </r>
  </si>
  <si>
    <t>VI</t>
  </si>
  <si>
    <t>Коэффициент покрытия (платежеспособности)</t>
  </si>
  <si>
    <t>Кпл=А2 / (П2-До)</t>
  </si>
  <si>
    <t>1. А2 -текущие активы разд II актива баланса стр 390</t>
  </si>
  <si>
    <t>2. П2 - обязательства , раздел II пассива баланса , стр 770</t>
  </si>
  <si>
    <t>3.До - долгосрочные обязательства стр 490  Бухгалтерского баланса</t>
  </si>
  <si>
    <t>VII</t>
  </si>
  <si>
    <t>Коэффициент финансовой независимости</t>
  </si>
  <si>
    <t>Ксс= П1 /(П2-До) больше 1</t>
  </si>
  <si>
    <t>1. П1 - источники собственных средств, итог раздела I пассива баланса,стр 480</t>
  </si>
  <si>
    <t>3. До - долгосрочные обязательства стр 490 бухгалтерского баланса</t>
  </si>
  <si>
    <t>VIII</t>
  </si>
  <si>
    <t>Расчет дивидентов</t>
  </si>
  <si>
    <t>IX</t>
  </si>
  <si>
    <t>Рентабельность инвестиций акционеров (TSR)</t>
  </si>
  <si>
    <t>(Цена акции в конце периода - цена акции в начале периода + выплаченные в течении периода дивиденды) /цена акции вначале периода</t>
  </si>
  <si>
    <t>Цена акции  в начале периода</t>
  </si>
  <si>
    <t>Цена акции  в конце периода</t>
  </si>
  <si>
    <t>Дивиденды в течении периода</t>
  </si>
  <si>
    <t xml:space="preserve">Главный бухгалтер </t>
  </si>
  <si>
    <t xml:space="preserve">              М.Ю.Каратаева</t>
  </si>
  <si>
    <t>Начальник  ОСПРБ</t>
  </si>
  <si>
    <t xml:space="preserve">              З.Л.Ряховская</t>
  </si>
  <si>
    <t>гр3</t>
  </si>
  <si>
    <t>стр 400</t>
  </si>
  <si>
    <t>стр 770</t>
  </si>
  <si>
    <t>__________________Р.А.Аликулов</t>
  </si>
  <si>
    <t xml:space="preserve">  </t>
  </si>
  <si>
    <t>"_____"______________2021 г</t>
  </si>
  <si>
    <t xml:space="preserve">                                                                                               дополнительных ключевых показателей эффективности по  АО "Biokimyo"за 9 месяцев 2022год                                                                                               </t>
  </si>
  <si>
    <t>Удельный вес</t>
  </si>
  <si>
    <t>Удельный вес на 1полугодие 2022г</t>
  </si>
  <si>
    <t>1 полугодие 2021г</t>
  </si>
  <si>
    <t>9 месяцев 2021г</t>
  </si>
  <si>
    <t>2021год</t>
  </si>
  <si>
    <t xml:space="preserve">Прибыль до вычета процентов , налогов (EBIT-Earnigs Before Interest, Taxes) </t>
  </si>
  <si>
    <t>1 Чистая прибыль +</t>
  </si>
  <si>
    <t>2 Расходы по налогу на прибыль+</t>
  </si>
  <si>
    <t>Возмещенный налог на прибыль -</t>
  </si>
  <si>
    <t>(+Чрезвычайные расходы)</t>
  </si>
  <si>
    <t>(- Чрезвычайные доходы)</t>
  </si>
  <si>
    <t>3 Проценты уплаченные +</t>
  </si>
  <si>
    <t xml:space="preserve">   Проценты полученные -</t>
  </si>
  <si>
    <t>EBIT =(1+2+3)</t>
  </si>
  <si>
    <t xml:space="preserve">Прибыль до вычета процентов , налогов и амортизация (EBITDA-Earnigs Before Interest, Taxes,  Depreciation&amp; Amortization) </t>
  </si>
  <si>
    <t>1. EBIT</t>
  </si>
  <si>
    <t>2 Амортизационные отчисления по материальным и нематериальным активам +</t>
  </si>
  <si>
    <t>3.Переоценка активов</t>
  </si>
  <si>
    <t>EBITDA =(I+2+3)</t>
  </si>
  <si>
    <t xml:space="preserve">Соотношение затрат и доходов (CIR) </t>
  </si>
  <si>
    <t>(Операционные расходы/Выручка)</t>
  </si>
  <si>
    <t xml:space="preserve">  Операциоонные расходы(1+2) :</t>
  </si>
  <si>
    <t>1 Себестоимость продаж+</t>
  </si>
  <si>
    <t xml:space="preserve">2 Расходы периода + </t>
  </si>
  <si>
    <t>в т.ч.Расходы по реализации</t>
  </si>
  <si>
    <t xml:space="preserve">Административные расходы </t>
  </si>
  <si>
    <t>Прочие операционные расходы</t>
  </si>
  <si>
    <t>3.Выручка</t>
  </si>
  <si>
    <t>Рентабельность привлеченного капитала (ROCE)</t>
  </si>
  <si>
    <t>(Чистая прибыль / Привлеченный капитал на начало и конец периода)</t>
  </si>
  <si>
    <t>1 Чистая прибыль</t>
  </si>
  <si>
    <t>2 Привлеченный капитал на начало и конец периода</t>
  </si>
  <si>
    <t>Рентабельность акционерного капитала (ROE)</t>
  </si>
  <si>
    <t xml:space="preserve">(Чистая прибыль/Cреднегодовой акционерный капитал </t>
  </si>
  <si>
    <t xml:space="preserve">2 Cреднегодовой акционерный капитал </t>
  </si>
  <si>
    <t xml:space="preserve">Коэффициент абсолютной ликвидности </t>
  </si>
  <si>
    <r>
      <t xml:space="preserve">(Рекомендуемая нижняя граница этого показателя -0,2, т.е. выполняется условие                             Кал больше 0,2)                                               </t>
    </r>
    <r>
      <rPr>
        <b/>
        <sz val="10"/>
        <rFont val="Times New Roman"/>
        <family val="1"/>
        <charset val="204"/>
      </rPr>
      <t xml:space="preserve"> Кал = Дс / То</t>
    </r>
  </si>
  <si>
    <t>1. Дс - денежные средства - сумма строк раздела актива баланса , стр 320 (стр330+340+350+360)</t>
  </si>
  <si>
    <t xml:space="preserve">2. То- текущие обязательства,       стр 600 II раздела пассива баланса </t>
  </si>
  <si>
    <t>Оборачиваемость кредиторской задолженности в днях</t>
  </si>
  <si>
    <t>Окр дн = Дп / (Вр / Кз ср)</t>
  </si>
  <si>
    <t>1. Вр - чистая выручка от реализации продукции отчетного периода стр 010,гр 5 форма №2 " Отчет о финансовых результатах"</t>
  </si>
  <si>
    <t>2. Дл- количество календарных дней в периоде</t>
  </si>
  <si>
    <r>
      <t xml:space="preserve">3.  Кз ср - среднее арифметическое значение </t>
    </r>
    <r>
      <rPr>
        <b/>
        <sz val="10"/>
        <rFont val="Times New Roman"/>
        <family val="1"/>
        <charset val="204"/>
      </rPr>
      <t xml:space="preserve">кредиторской </t>
    </r>
    <r>
      <rPr>
        <sz val="10"/>
        <rFont val="Times New Roman"/>
        <family val="1"/>
        <charset val="204"/>
      </rPr>
      <t>задолженности( половина от суммы значений на начало и конец периода по стр 601 раздела II пассива баланса формы №1 " Бухгалтерский баланс"</t>
    </r>
  </si>
  <si>
    <t>среднее</t>
  </si>
  <si>
    <t>Оборачиваемость дебиторской задолженности в днях</t>
  </si>
  <si>
    <t>Одз дн = Дп / (Вр / Дз ср</t>
  </si>
  <si>
    <t>C/D*101</t>
  </si>
  <si>
    <r>
      <t xml:space="preserve">3.  Дз ср - среднее арифметическое значение </t>
    </r>
    <r>
      <rPr>
        <b/>
        <sz val="10"/>
        <rFont val="Times New Roman"/>
        <family val="1"/>
        <charset val="204"/>
      </rPr>
      <t xml:space="preserve">дебиторской </t>
    </r>
    <r>
      <rPr>
        <sz val="10"/>
        <rFont val="Times New Roman"/>
        <family val="1"/>
        <charset val="204"/>
      </rPr>
      <t>задолженности( половина от суммы значений на начало и конец периода по стр 210 раздела II актива баланса формы №1                                                              " Бухгалтерский баланс"</t>
    </r>
  </si>
  <si>
    <t>Коэффициент износа основных средств          (превышает 0,5 значительная изношенность оборудования)</t>
  </si>
  <si>
    <t>Кизн = И / О</t>
  </si>
  <si>
    <r>
      <rPr>
        <b/>
        <sz val="10"/>
        <rFont val="Times New Roman"/>
        <family val="1"/>
        <charset val="204"/>
      </rPr>
      <t xml:space="preserve">И </t>
    </r>
    <r>
      <rPr>
        <sz val="10"/>
        <rFont val="Times New Roman"/>
        <family val="1"/>
        <charset val="204"/>
      </rPr>
      <t>- износ основных средств - строка 011 формы№1 "Бухгалтерский баланс"</t>
    </r>
  </si>
  <si>
    <r>
      <t xml:space="preserve">О - </t>
    </r>
    <r>
      <rPr>
        <sz val="10"/>
        <rFont val="Times New Roman"/>
        <family val="1"/>
        <charset val="204"/>
      </rPr>
      <t xml:space="preserve">первоначальная стоимость основных средств- строка010 формы№1 " Бухгалтерский баланс" </t>
    </r>
  </si>
  <si>
    <t>X</t>
  </si>
  <si>
    <t>Производительность труда</t>
  </si>
  <si>
    <t>Вч= Вр / Чср</t>
  </si>
  <si>
    <r>
      <t xml:space="preserve">1 </t>
    </r>
    <r>
      <rPr>
        <b/>
        <sz val="10"/>
        <rFont val="Times New Roman"/>
        <family val="1"/>
        <charset val="204"/>
      </rPr>
      <t>Вр</t>
    </r>
    <r>
      <rPr>
        <sz val="10"/>
        <rFont val="Times New Roman"/>
        <family val="1"/>
        <charset val="204"/>
      </rPr>
      <t xml:space="preserve">- чистая выручка от реализации продукции отчетного периода ,сум;(стр 010, гр 5 формы 2 "Отчет о финансовых результатах" </t>
    </r>
  </si>
  <si>
    <r>
      <t xml:space="preserve">2 </t>
    </r>
    <r>
      <rPr>
        <b/>
        <sz val="10"/>
        <rFont val="Times New Roman"/>
        <family val="1"/>
        <charset val="204"/>
      </rPr>
      <t>Чср -</t>
    </r>
    <r>
      <rPr>
        <sz val="10"/>
        <rFont val="Times New Roman"/>
        <family val="1"/>
        <charset val="204"/>
      </rPr>
      <t xml:space="preserve"> среднесписочная численность сотрудников организации </t>
    </r>
  </si>
  <si>
    <t>XI</t>
  </si>
  <si>
    <t xml:space="preserve">Коэффициент обновления  основных средств                                 </t>
  </si>
  <si>
    <t>Кн = Ан / Аос к</t>
  </si>
  <si>
    <r>
      <rPr>
        <b/>
        <sz val="10"/>
        <rFont val="Times New Roman"/>
        <family val="1"/>
        <charset val="204"/>
      </rPr>
      <t xml:space="preserve">Ан </t>
    </r>
    <r>
      <rPr>
        <sz val="10"/>
        <rFont val="Times New Roman"/>
        <family val="1"/>
        <charset val="204"/>
      </rPr>
      <t>- балансовая стоимость поступивших за период основных средств (строка 101, гр2 формы статотчетности 2- moliya "Отчет о наличии и движении основных средств и других нефинансовых активов"</t>
    </r>
  </si>
  <si>
    <r>
      <t xml:space="preserve">Аос к </t>
    </r>
    <r>
      <rPr>
        <sz val="10"/>
        <rFont val="Times New Roman"/>
        <family val="1"/>
        <charset val="204"/>
      </rPr>
      <t xml:space="preserve">-балансовая остаточная стоимость всех основных средств на конец периода (стр 101, гр 9  формы статотчетности  2- moliya "Отчет о наличии и движении основных средств и других нефинансовых активов" </t>
    </r>
  </si>
  <si>
    <t>XII</t>
  </si>
  <si>
    <t>Фондоотдача</t>
  </si>
  <si>
    <t>Фо= Вр / Фср</t>
  </si>
  <si>
    <r>
      <t xml:space="preserve">2 </t>
    </r>
    <r>
      <rPr>
        <b/>
        <sz val="10"/>
        <rFont val="Times New Roman"/>
        <family val="1"/>
        <charset val="204"/>
      </rPr>
      <t xml:space="preserve">Фср </t>
    </r>
    <r>
      <rPr>
        <sz val="10"/>
        <rFont val="Times New Roman"/>
        <family val="1"/>
        <charset val="204"/>
      </rPr>
      <t>- среднеарифметическая величина ОС за отчетный период. Определяется по формуле        Фср= (Ф1+ Ф2) / 2, где   Ф1 и Ф2 - стоимость ОС на начало и конец отчетного периода ,сум; стр 012, гр 3 и 4 форма№1 "Бухгалтерский баланс"</t>
    </r>
  </si>
  <si>
    <t>XIII</t>
  </si>
  <si>
    <t>Затраты на обучение персонала , в расчете на одного работника</t>
  </si>
  <si>
    <t>Зобуч / Чср</t>
  </si>
  <si>
    <t xml:space="preserve">1.Зобуч -  затраты на обучение персонала </t>
  </si>
  <si>
    <t xml:space="preserve">2. Чср- среднесписочная численность сотрудников организации </t>
  </si>
  <si>
    <t>XIV</t>
  </si>
  <si>
    <t xml:space="preserve">Коэффициент текучести кадров </t>
  </si>
  <si>
    <t>Чнач / Чкон</t>
  </si>
  <si>
    <t>1. Чнач и Чкон - численность сотрудников организации на начало и конец периода</t>
  </si>
  <si>
    <t>342  /   338</t>
  </si>
  <si>
    <t>343  /   338</t>
  </si>
  <si>
    <t>344  /   338</t>
  </si>
  <si>
    <t>XV</t>
  </si>
  <si>
    <t>Энергоэффективность (доля затрат на энергию в структуре себестоимости продукции)</t>
  </si>
  <si>
    <t>Зз / Зп</t>
  </si>
  <si>
    <r>
      <rPr>
        <b/>
        <sz val="10"/>
        <rFont val="Times New Roman"/>
        <family val="1"/>
        <charset val="204"/>
      </rPr>
      <t xml:space="preserve">Зз </t>
    </r>
    <r>
      <rPr>
        <sz val="10"/>
        <rFont val="Times New Roman"/>
        <family val="1"/>
        <charset val="204"/>
      </rPr>
      <t>- совокупная стоимость затрат производственного назначения на горюче-смазочные материалы , теплоснабжение, потребление электричества, газоснабжение</t>
    </r>
  </si>
  <si>
    <r>
      <rPr>
        <b/>
        <sz val="10"/>
        <rFont val="Times New Roman"/>
        <family val="1"/>
        <charset val="204"/>
      </rPr>
      <t>Зп</t>
    </r>
    <r>
      <rPr>
        <sz val="10"/>
        <rFont val="Times New Roman"/>
        <family val="1"/>
        <charset val="204"/>
      </rPr>
      <t xml:space="preserve"> - себестоимость произведенной продукции</t>
    </r>
  </si>
  <si>
    <t>Итого</t>
  </si>
  <si>
    <t>стр 410</t>
  </si>
  <si>
    <t>привлечен капитал</t>
  </si>
  <si>
    <t>рентабель ационер капит</t>
  </si>
  <si>
    <t>Интегральный коэффициент эффективности за 9 месяцев 2022 года</t>
  </si>
  <si>
    <t xml:space="preserve">по АО "Biokimyo "  </t>
  </si>
  <si>
    <t>Показатели</t>
  </si>
  <si>
    <t>Основные ключевые показатели эффективности</t>
  </si>
  <si>
    <t>Дополнительные ключевые показатели эффективности</t>
  </si>
  <si>
    <t xml:space="preserve">Итого ИКЭ </t>
  </si>
  <si>
    <t>И.о. председателя правления                                     Р.А.Аликулов</t>
  </si>
  <si>
    <t xml:space="preserve">                     АО "Biokimyo" </t>
  </si>
  <si>
    <t xml:space="preserve">                    Главный бухгалтер                                                    М.Ю.Каратаева</t>
  </si>
  <si>
    <t xml:space="preserve">                    Начальник ОСПРБ                                                     З.Л.Ряховская</t>
  </si>
  <si>
    <t>гр4- 1кв</t>
  </si>
  <si>
    <t>гр4- 1п/г</t>
  </si>
  <si>
    <t>гр4- 9мес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</si>
</sst>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"/>
    <numFmt numFmtId="165" formatCode="#,##0.00;[Red]\(#,##0.00\)"/>
    <numFmt numFmtId="166" formatCode="&quot;$&quot;#,##0_);[Red]\(&quot;$&quot;#,##0\)"/>
    <numFmt numFmtId="167" formatCode="&quot;$&quot;#,##0.00_);[Red]\(&quot;$&quot;#,##0.00\)"/>
    <numFmt numFmtId="168" formatCode="_-* #,##0.00[$€-1]_-;\-* #,##0.00[$€-1]_-;_-* &quot;-&quot;??[$€-1]_-"/>
    <numFmt numFmtId="169" formatCode="_-* #,##0.00&quot;р.&quot;_-;\-* #,##0.00&quot;р.&quot;_-;_-* &quot;-&quot;??&quot;р.&quot;_-;_-@_-"/>
    <numFmt numFmtId="170" formatCode="_-* #,##0.00_р_._-;\-* #,##0.00_р_._-;_-* &quot;-&quot;??_р_._-;_-@_-"/>
    <numFmt numFmtId="171" formatCode="#,##0.0_ ;[Red]\-#,##0.0\ "/>
    <numFmt numFmtId="172" formatCode="_(* #,##0.00_);_(* \(#,##0.00\);_(* &quot;-&quot;??_);_(@_)"/>
    <numFmt numFmtId="173" formatCode="#,##0__;[Red]\-#,##0__;"/>
    <numFmt numFmtId="174" formatCode="#,##0.000"/>
  </numFmts>
  <fonts count="5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186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돋움"/>
      <family val="3"/>
      <charset val="129"/>
    </font>
    <font>
      <sz val="11"/>
      <name val="돋움"/>
      <family val="2"/>
      <charset val="129"/>
    </font>
    <font>
      <b/>
      <i/>
      <sz val="10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1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2" applyNumberFormat="0" applyAlignment="0" applyProtection="0"/>
    <xf numFmtId="0" fontId="15" fillId="22" borderId="3" applyNumberFormat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2" applyNumberFormat="0" applyAlignment="0" applyProtection="0"/>
    <xf numFmtId="0" fontId="23" fillId="0" borderId="7" applyNumberFormat="0" applyFill="0" applyAlignment="0" applyProtection="0"/>
    <xf numFmtId="0" fontId="24" fillId="23" borderId="0" applyNumberFormat="0" applyBorder="0" applyAlignment="0" applyProtection="0"/>
    <xf numFmtId="0" fontId="25" fillId="0" borderId="0"/>
    <xf numFmtId="0" fontId="2" fillId="24" borderId="8" applyNumberFormat="0" applyFont="0" applyAlignment="0" applyProtection="0"/>
    <xf numFmtId="0" fontId="26" fillId="21" borderId="9" applyNumberFormat="0" applyAlignment="0" applyProtection="0"/>
    <xf numFmtId="9" fontId="16" fillId="0" borderId="0" applyFont="0" applyFill="0" applyProtection="0">
      <alignment horizontal="center"/>
    </xf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6" fillId="0" borderId="0"/>
    <xf numFmtId="0" fontId="30" fillId="8" borderId="2" applyNumberFormat="0" applyAlignment="0" applyProtection="0"/>
    <xf numFmtId="0" fontId="31" fillId="21" borderId="9" applyNumberFormat="0" applyAlignment="0" applyProtection="0"/>
    <xf numFmtId="0" fontId="32" fillId="21" borderId="2" applyNumberFormat="0" applyAlignment="0" applyProtection="0"/>
    <xf numFmtId="169" fontId="10" fillId="0" borderId="0" applyFont="0" applyFill="0" applyBorder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5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0" applyNumberFormat="0" applyFill="0" applyAlignment="0" applyProtection="0"/>
    <xf numFmtId="0" fontId="37" fillId="22" borderId="3" applyNumberFormat="0" applyAlignment="0" applyProtection="0"/>
    <xf numFmtId="0" fontId="38" fillId="0" borderId="0" applyNumberFormat="0" applyFill="0" applyBorder="0" applyAlignment="0" applyProtection="0"/>
    <xf numFmtId="0" fontId="39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40" fillId="0" borderId="0"/>
    <xf numFmtId="0" fontId="2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0" fillId="0" borderId="0"/>
    <xf numFmtId="0" fontId="25" fillId="0" borderId="0" applyNumberFormat="0" applyFont="0" applyFill="0" applyBorder="0" applyAlignment="0" applyProtection="0">
      <alignment vertical="top"/>
    </xf>
    <xf numFmtId="0" fontId="1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" fillId="0" borderId="0"/>
    <xf numFmtId="0" fontId="10" fillId="0" borderId="0"/>
    <xf numFmtId="0" fontId="2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4" borderId="0" applyNumberFormat="0" applyBorder="0" applyAlignment="0" applyProtection="0"/>
    <xf numFmtId="0" fontId="42" fillId="0" borderId="0" applyNumberFormat="0" applyFill="0" applyBorder="0" applyAlignment="0" applyProtection="0"/>
    <xf numFmtId="0" fontId="25" fillId="24" borderId="8" applyNumberFormat="0" applyFont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4" fillId="0" borderId="7" applyNumberFormat="0" applyFill="0" applyAlignment="0" applyProtection="0"/>
    <xf numFmtId="0" fontId="45" fillId="0" borderId="0" applyNumberForma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5" fillId="0" borderId="0" applyFont="0" applyFill="0" applyBorder="0" applyAlignment="0" applyProtection="0"/>
    <xf numFmtId="170" fontId="10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46" fillId="5" borderId="0" applyNumberFormat="0" applyBorder="0" applyAlignment="0" applyProtection="0"/>
    <xf numFmtId="0" fontId="47" fillId="0" borderId="0"/>
    <xf numFmtId="0" fontId="48" fillId="0" borderId="0"/>
  </cellStyleXfs>
  <cellXfs count="116">
    <xf numFmtId="0" fontId="0" fillId="0" borderId="0" xfId="0"/>
    <xf numFmtId="4" fontId="3" fillId="0" borderId="0" xfId="0" applyNumberFormat="1" applyFont="1" applyFill="1"/>
    <xf numFmtId="4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/>
    <xf numFmtId="4" fontId="5" fillId="0" borderId="0" xfId="0" applyNumberFormat="1" applyFont="1" applyFill="1"/>
    <xf numFmtId="4" fontId="5" fillId="0" borderId="0" xfId="0" applyNumberFormat="1" applyFont="1" applyFill="1" applyAlignment="1"/>
    <xf numFmtId="0" fontId="0" fillId="0" borderId="0" xfId="0" applyBorder="1"/>
    <xf numFmtId="4" fontId="7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/>
    <xf numFmtId="4" fontId="8" fillId="0" borderId="0" xfId="0" applyNumberFormat="1" applyFont="1" applyFill="1" applyBorder="1" applyAlignment="1"/>
    <xf numFmtId="4" fontId="8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/>
    <xf numFmtId="3" fontId="8" fillId="2" borderId="1" xfId="0" applyNumberFormat="1" applyFont="1" applyFill="1" applyBorder="1" applyAlignment="1"/>
    <xf numFmtId="164" fontId="8" fillId="2" borderId="1" xfId="0" applyNumberFormat="1" applyFont="1" applyFill="1" applyBorder="1" applyAlignment="1"/>
    <xf numFmtId="4" fontId="8" fillId="2" borderId="1" xfId="0" applyNumberFormat="1" applyFont="1" applyFill="1" applyBorder="1"/>
    <xf numFmtId="4" fontId="4" fillId="2" borderId="1" xfId="0" applyNumberFormat="1" applyFont="1" applyFill="1" applyBorder="1" applyAlignment="1"/>
    <xf numFmtId="4" fontId="4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wrapText="1"/>
    </xf>
    <xf numFmtId="3" fontId="4" fillId="2" borderId="1" xfId="0" applyNumberFormat="1" applyFont="1" applyFill="1" applyBorder="1" applyAlignment="1"/>
    <xf numFmtId="4" fontId="4" fillId="2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 applyAlignment="1"/>
    <xf numFmtId="0" fontId="8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wrapText="1"/>
    </xf>
    <xf numFmtId="4" fontId="8" fillId="2" borderId="1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/>
    <xf numFmtId="4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vertical="top" wrapText="1"/>
    </xf>
    <xf numFmtId="4" fontId="4" fillId="2" borderId="0" xfId="0" applyNumberFormat="1" applyFont="1" applyFill="1"/>
    <xf numFmtId="4" fontId="7" fillId="0" borderId="0" xfId="0" applyNumberFormat="1" applyFont="1" applyFill="1"/>
    <xf numFmtId="4" fontId="6" fillId="0" borderId="0" xfId="0" applyNumberFormat="1" applyFont="1" applyFill="1" applyAlignment="1">
      <alignment horizontal="center" vertical="center"/>
    </xf>
    <xf numFmtId="4" fontId="6" fillId="2" borderId="0" xfId="0" applyNumberFormat="1" applyFont="1" applyFill="1"/>
    <xf numFmtId="4" fontId="3" fillId="0" borderId="0" xfId="0" applyNumberFormat="1" applyFont="1" applyFill="1" applyBorder="1" applyAlignment="1">
      <alignment horizontal="left" wrapText="1"/>
    </xf>
    <xf numFmtId="4" fontId="3" fillId="2" borderId="0" xfId="0" applyNumberFormat="1" applyFont="1" applyFill="1"/>
    <xf numFmtId="4" fontId="5" fillId="0" borderId="0" xfId="0" applyNumberFormat="1" applyFont="1" applyFill="1" applyAlignment="1">
      <alignment horizontal="center" vertical="center"/>
    </xf>
    <xf numFmtId="4" fontId="5" fillId="2" borderId="0" xfId="0" applyNumberFormat="1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11" xfId="0" applyBorder="1"/>
    <xf numFmtId="4" fontId="8" fillId="0" borderId="1" xfId="0" applyNumberFormat="1" applyFont="1" applyFill="1" applyBorder="1" applyAlignment="1"/>
    <xf numFmtId="0" fontId="0" fillId="2" borderId="11" xfId="0" applyFill="1" applyBorder="1"/>
    <xf numFmtId="4" fontId="4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/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/>
    <xf numFmtId="3" fontId="8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left"/>
    </xf>
    <xf numFmtId="174" fontId="8" fillId="2" borderId="1" xfId="0" applyNumberFormat="1" applyFont="1" applyFill="1" applyBorder="1" applyAlignment="1">
      <alignment horizontal="center" vertical="center"/>
    </xf>
    <xf numFmtId="174" fontId="8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wrapText="1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4" fontId="49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top"/>
    </xf>
    <xf numFmtId="4" fontId="8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top" wrapText="1"/>
    </xf>
    <xf numFmtId="3" fontId="5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4" fontId="4" fillId="0" borderId="1" xfId="0" applyNumberFormat="1" applyFont="1" applyFill="1" applyBorder="1"/>
    <xf numFmtId="4" fontId="50" fillId="2" borderId="1" xfId="0" applyNumberFormat="1" applyFont="1" applyFill="1" applyBorder="1" applyAlignment="1">
      <alignment horizontal="center" vertical="center"/>
    </xf>
    <xf numFmtId="4" fontId="50" fillId="2" borderId="1" xfId="0" applyNumberFormat="1" applyFont="1" applyFill="1" applyBorder="1"/>
    <xf numFmtId="4" fontId="6" fillId="0" borderId="0" xfId="0" applyNumberFormat="1" applyFont="1" applyFill="1"/>
    <xf numFmtId="0" fontId="50" fillId="0" borderId="0" xfId="0" applyFont="1"/>
    <xf numFmtId="1" fontId="50" fillId="0" borderId="0" xfId="0" applyNumberFormat="1" applyFont="1"/>
    <xf numFmtId="0" fontId="51" fillId="0" borderId="12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/>
    </xf>
    <xf numFmtId="0" fontId="52" fillId="0" borderId="14" xfId="0" applyFont="1" applyBorder="1" applyAlignment="1">
      <alignment horizontal="center" vertical="center" wrapText="1"/>
    </xf>
    <xf numFmtId="2" fontId="52" fillId="0" borderId="15" xfId="0" applyNumberFormat="1" applyFont="1" applyBorder="1" applyAlignment="1">
      <alignment horizontal="center" vertical="center"/>
    </xf>
    <xf numFmtId="0" fontId="52" fillId="0" borderId="16" xfId="0" applyFont="1" applyBorder="1" applyAlignment="1">
      <alignment horizontal="center" vertical="center" wrapText="1"/>
    </xf>
    <xf numFmtId="2" fontId="52" fillId="0" borderId="17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center" vertical="center"/>
    </xf>
    <xf numFmtId="2" fontId="51" fillId="0" borderId="19" xfId="0" applyNumberFormat="1" applyFont="1" applyBorder="1" applyAlignment="1">
      <alignment horizontal="center" vertical="center"/>
    </xf>
    <xf numFmtId="0" fontId="51" fillId="0" borderId="0" xfId="0" applyFont="1" applyFill="1" applyBorder="1" applyAlignment="1">
      <alignment horizontal="left" wrapText="1"/>
    </xf>
    <xf numFmtId="0" fontId="51" fillId="0" borderId="0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25" borderId="0" xfId="0" applyNumberFormat="1" applyFill="1"/>
    <xf numFmtId="164" fontId="50" fillId="0" borderId="0" xfId="0" applyNumberFormat="1" applyFont="1"/>
    <xf numFmtId="3" fontId="50" fillId="25" borderId="0" xfId="0" applyNumberFormat="1" applyFont="1" applyFill="1"/>
    <xf numFmtId="0" fontId="0" fillId="25" borderId="0" xfId="0" applyFill="1"/>
    <xf numFmtId="0" fontId="51" fillId="0" borderId="0" xfId="0" applyFont="1" applyAlignment="1">
      <alignment horizontal="center"/>
    </xf>
    <xf numFmtId="0" fontId="51" fillId="0" borderId="0" xfId="0" applyFont="1" applyFill="1" applyBorder="1" applyAlignment="1">
      <alignment horizontal="center" wrapText="1"/>
    </xf>
    <xf numFmtId="0" fontId="51" fillId="0" borderId="0" xfId="0" applyFont="1" applyAlignment="1">
      <alignment horizontal="left"/>
    </xf>
    <xf numFmtId="4" fontId="3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3" fillId="0" borderId="0" xfId="0" applyNumberFormat="1" applyFont="1" applyFill="1" applyBorder="1" applyAlignment="1">
      <alignment horizontal="left" wrapText="1"/>
    </xf>
    <xf numFmtId="4" fontId="6" fillId="0" borderId="0" xfId="0" applyNumberFormat="1" applyFont="1" applyFill="1" applyAlignment="1">
      <alignment horizontal="center" wrapText="1"/>
    </xf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</cellXfs>
  <cellStyles count="16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 2" xfId="19"/>
    <cellStyle name="40% - Акцент2 2" xfId="20"/>
    <cellStyle name="40% - Акцент3 2" xfId="21"/>
    <cellStyle name="40% - Акцент4 2" xfId="22"/>
    <cellStyle name="40% - Акцент5 2" xfId="23"/>
    <cellStyle name="40% - Акцент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 2" xfId="31"/>
    <cellStyle name="60% - Акцент2 2" xfId="32"/>
    <cellStyle name="60% - Акцент3 2" xfId="33"/>
    <cellStyle name="60% - Акцент4 2" xfId="34"/>
    <cellStyle name="60% - Акцент5 2" xfId="35"/>
    <cellStyle name="60% - Акцент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Comma_Balance" xfId="46"/>
    <cellStyle name="Currency [0]_SCHEDULE.XLS" xfId="47"/>
    <cellStyle name="Currency_SCHEDULE.XLS" xfId="48"/>
    <cellStyle name="Euro" xfId="49"/>
    <cellStyle name="Explanatory Text" xfId="50"/>
    <cellStyle name="Good" xfId="51"/>
    <cellStyle name="Heading 1" xfId="52"/>
    <cellStyle name="Heading 2" xfId="53"/>
    <cellStyle name="Heading 3" xfId="54"/>
    <cellStyle name="Heading 4" xfId="55"/>
    <cellStyle name="Input" xfId="56"/>
    <cellStyle name="Linked Cell" xfId="57"/>
    <cellStyle name="Neutral" xfId="58"/>
    <cellStyle name="Normal_Sheet1" xfId="59"/>
    <cellStyle name="Note" xfId="60"/>
    <cellStyle name="Output" xfId="61"/>
    <cellStyle name="Percent_FinPlan" xfId="62"/>
    <cellStyle name="Title" xfId="63"/>
    <cellStyle name="Total" xfId="64"/>
    <cellStyle name="Warning Text" xfId="65"/>
    <cellStyle name="Акцент1 2" xfId="66"/>
    <cellStyle name="Акцент2 2" xfId="67"/>
    <cellStyle name="Акцент3 2" xfId="68"/>
    <cellStyle name="Акцент4 2" xfId="69"/>
    <cellStyle name="Акцент5 2" xfId="70"/>
    <cellStyle name="Акцент6 2" xfId="71"/>
    <cellStyle name="Баланс ИПК &quot;ШАРК&quot; (в рублях)" xfId="72"/>
    <cellStyle name="Ввод  2" xfId="73"/>
    <cellStyle name="Вывод 2" xfId="74"/>
    <cellStyle name="Вычисление 2" xfId="75"/>
    <cellStyle name="Денежный 2" xfId="76"/>
    <cellStyle name="Заголовок 1 2" xfId="77"/>
    <cellStyle name="Заголовок 2 2" xfId="78"/>
    <cellStyle name="Заголовок 3 2" xfId="79"/>
    <cellStyle name="Заголовок 4 2" xfId="80"/>
    <cellStyle name="Итог 2" xfId="81"/>
    <cellStyle name="Контрольная ячейка 2" xfId="82"/>
    <cellStyle name="Название 2" xfId="83"/>
    <cellStyle name="Нейтральный 2" xfId="84"/>
    <cellStyle name="Обычный" xfId="0" builtinId="0"/>
    <cellStyle name="Обычный 10" xfId="85"/>
    <cellStyle name="Обычный 11" xfId="86"/>
    <cellStyle name="Обычный 12" xfId="87"/>
    <cellStyle name="Обычный 13" xfId="88"/>
    <cellStyle name="Обычный 14" xfId="89"/>
    <cellStyle name="Обычный 15" xfId="90"/>
    <cellStyle name="Обычный 16" xfId="91"/>
    <cellStyle name="Обычный 16 2" xfId="92"/>
    <cellStyle name="Обычный 16_Иловалар" xfId="93"/>
    <cellStyle name="Обычный 17" xfId="94"/>
    <cellStyle name="Обычный 18" xfId="95"/>
    <cellStyle name="Обычный 19" xfId="96"/>
    <cellStyle name="Обычный 2" xfId="97"/>
    <cellStyle name="Обычный 2 2" xfId="98"/>
    <cellStyle name="Обычный 2 2 2" xfId="99"/>
    <cellStyle name="Обычный 2 2 3" xfId="100"/>
    <cellStyle name="Обычный 2 2_паспорт локализации холодильников 2012г версия для Р.М " xfId="101"/>
    <cellStyle name="Обычный 2 3" xfId="102"/>
    <cellStyle name="Обычный 2 3 2" xfId="103"/>
    <cellStyle name="Обычный 2 3_Иловалар" xfId="104"/>
    <cellStyle name="Обычный 2 4" xfId="105"/>
    <cellStyle name="Обычный 2_Прогноз Баланс и фин результат за 2014г для БП" xfId="106"/>
    <cellStyle name="Обычный 20" xfId="107"/>
    <cellStyle name="Обычный 26" xfId="108"/>
    <cellStyle name="Обычный 27" xfId="109"/>
    <cellStyle name="Обычный 28" xfId="110"/>
    <cellStyle name="Обычный 3" xfId="111"/>
    <cellStyle name="Обычный 3 2" xfId="112"/>
    <cellStyle name="Обычный 3 2 2" xfId="113"/>
    <cellStyle name="Обычный 3 2 2 2" xfId="114"/>
    <cellStyle name="Обычный 3 2 2_паспорт локализации холодильников 2012г версия для Р.М " xfId="115"/>
    <cellStyle name="Обычный 3 2 3" xfId="116"/>
    <cellStyle name="Обычный 3 2_паспорт локализации холодильников 2012г версия для Р.М " xfId="117"/>
    <cellStyle name="Обычный 3 3" xfId="118"/>
    <cellStyle name="Обычный 3_Сино-308 15.12.10" xfId="119"/>
    <cellStyle name="Обычный 4" xfId="120"/>
    <cellStyle name="Обычный 4 2" xfId="121"/>
    <cellStyle name="Обычный 4 2 2" xfId="122"/>
    <cellStyle name="Обычный 4 2 3" xfId="123"/>
    <cellStyle name="Обычный 4 2_паспорт локализации холодильников 2012г версия для Р.М " xfId="124"/>
    <cellStyle name="Обычный 4 3" xfId="125"/>
    <cellStyle name="Обычный 5" xfId="126"/>
    <cellStyle name="Обычный 5 2" xfId="127"/>
    <cellStyle name="Обычный 5 3" xfId="128"/>
    <cellStyle name="Обычный 5_паспорт локализации холодильников 2012г версия для Р.М " xfId="129"/>
    <cellStyle name="Обычный 6" xfId="130"/>
    <cellStyle name="Обычный 7" xfId="131"/>
    <cellStyle name="Обычный 8" xfId="132"/>
    <cellStyle name="Обычный 9" xfId="133"/>
    <cellStyle name="Плохой 2" xfId="134"/>
    <cellStyle name="Пояснение 2" xfId="135"/>
    <cellStyle name="Примечание 2" xfId="136"/>
    <cellStyle name="Процентный 2" xfId="137"/>
    <cellStyle name="Процентный 3" xfId="138"/>
    <cellStyle name="Процентный 3 2" xfId="139"/>
    <cellStyle name="Процентный 4" xfId="140"/>
    <cellStyle name="Процентный 5" xfId="141"/>
    <cellStyle name="Связанная ячейка 2" xfId="142"/>
    <cellStyle name="Текст предупреждения 2" xfId="143"/>
    <cellStyle name="Финансовый 2" xfId="144"/>
    <cellStyle name="Финансовый 2 2" xfId="145"/>
    <cellStyle name="Финансовый 2 2 2" xfId="146"/>
    <cellStyle name="Финансовый 2 2 2 2" xfId="147"/>
    <cellStyle name="Финансовый 2 3" xfId="148"/>
    <cellStyle name="Финансовый 3" xfId="149"/>
    <cellStyle name="Финансовый 3 2" xfId="150"/>
    <cellStyle name="Финансовый 4" xfId="151"/>
    <cellStyle name="Финансовый 4 2" xfId="152"/>
    <cellStyle name="Финансовый 4 3" xfId="153"/>
    <cellStyle name="Финансовый 5" xfId="154"/>
    <cellStyle name="Финансовый 6" xfId="155"/>
    <cellStyle name="Финансовый 7" xfId="156"/>
    <cellStyle name="Финансовый 8" xfId="157"/>
    <cellStyle name="Хороший 2" xfId="158"/>
    <cellStyle name="표준_BACK-UP" xfId="159"/>
    <cellStyle name="常规_PK_CNcntr(Bolt-11)" xfId="1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86;&#1080;%20&#1076;&#1086;&#1082;&#1091;&#1084;&#1077;&#1085;&#1090;&#1099;\&#1076;&#1086;&#1082;&#1091;&#1084;&#1077;&#1085;&#1090;&#1099;%20&#1089;%20&#1089;%20&#1076;&#1080;&#1089;&#1082;&#1072;\&#1041;&#1080;&#1079;&#1085;&#1077;&#1089;-&#1087;&#1083;&#1072;&#1085;\&#1041;&#1048;&#1047;&#1053;&#1045;&#1057;-&#1055;&#1051;&#1040;&#1053;%20&#1041;&#1048;&#1054;&#1050;&#1048;&#1052;&#1025;%202022&#1075;-&#1085;&#1086;&#1103;&#1073;&#1088;&#1100;\&#1041;&#1048;&#1047;&#1053;&#1045;&#1057;-&#1055;&#1051;&#1040;&#1053;%20&#1041;&#1048;&#1054;&#1050;&#1048;&#1052;&#1025;%202022&#1075;\&#1041;&#1080;&#1079;&#1085;&#1077;&#1089;-&#1087;&#1083;&#1072;&#1085;%20&#1085;&#1072;%202022%20&#1075;&#1086;&#1076;_&#1085;&#1086;&#1103;&#1073;&#1088;&#1100;-&#1087;&#1083;&#1072;&#1085;\&#1050;&#1055;&#1069;%20&#1092;&#1072;&#1082;&#1090;%20&#1079;&#1072;%202022&#1075;&#1041;&#1048;&#1054;&#1050;&#1048;&#1052;&#102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86;&#1080;%20&#1076;&#1086;&#1082;&#1091;&#1084;&#1077;&#1085;&#1090;&#1099;\&#1076;&#1086;&#1082;&#1091;&#1084;&#1077;&#1085;&#1090;&#1099;%20&#1089;%20&#1089;%20&#1076;&#1080;&#1089;&#1082;&#1072;\&#1041;&#1080;&#1079;&#1085;&#1077;&#1089;-&#1087;&#1083;&#1072;&#1085;\&#1041;&#1048;&#1047;&#1053;&#1045;&#1057;-&#1055;&#1051;&#1040;&#1053;%20&#1041;&#1048;&#1054;&#1050;&#1048;&#1052;&#1025;%202022&#1075;-&#1085;&#1086;&#1103;&#1073;&#1088;&#1100;\&#1041;&#1048;&#1047;&#1053;&#1045;&#1057;-&#1055;&#1051;&#1040;&#1053;%20&#1041;&#1048;&#1054;&#1050;&#1048;&#1052;&#1025;%202022&#1075;\&#1041;&#1080;&#1079;&#1085;&#1077;&#1089;-&#1087;&#1083;&#1072;&#1085;%20&#1085;&#1072;%202022%20&#1075;&#1086;&#1076;_&#1085;&#1086;&#1103;&#1073;&#1088;&#1100;-&#1087;&#1083;&#1072;&#1085;\&#1041;&#1048;&#1047;&#1053;&#1045;&#1057;-&#1055;&#1051;&#1040;&#1053;%20&#1085;&#1072;%202022&#1075;&#1087;&#1083;&#1072;&#1085;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теграл коэф 1пг 22  (2)"/>
      <sheetName val="КПЭ основ"/>
      <sheetName val="КПЭ допол"/>
      <sheetName val="КПЭ осн 1кв 22г"/>
      <sheetName val="КПЭ доп 1кв 22"/>
      <sheetName val="Интеграл коэф 1кв 22"/>
      <sheetName val="КПЭ осн 1пг22г"/>
      <sheetName val="КПЭ доп 1пг22"/>
      <sheetName val="Интеграл коэф 1пг 22 "/>
      <sheetName val="КПЭ осн 9 месг22г"/>
      <sheetName val="КПЭ доп 9 мес 22"/>
      <sheetName val="Интеграл коэф 9 мес 22"/>
      <sheetName val="Лист1"/>
    </sheetNames>
    <sheetDataSet>
      <sheetData sheetId="0"/>
      <sheetData sheetId="1">
        <row r="14">
          <cell r="C14">
            <v>20</v>
          </cell>
          <cell r="G14">
            <v>167614831</v>
          </cell>
          <cell r="K14">
            <v>193989997</v>
          </cell>
        </row>
        <row r="15">
          <cell r="C15">
            <v>20</v>
          </cell>
          <cell r="G15">
            <v>17317494</v>
          </cell>
          <cell r="K15">
            <v>19957219</v>
          </cell>
        </row>
        <row r="17">
          <cell r="C17">
            <v>5</v>
          </cell>
          <cell r="G17">
            <v>0.29434261127328004</v>
          </cell>
          <cell r="K17">
            <v>0.32025818375887488</v>
          </cell>
        </row>
        <row r="18">
          <cell r="G18">
            <v>19857664</v>
          </cell>
          <cell r="K18">
            <v>23630934</v>
          </cell>
        </row>
        <row r="19">
          <cell r="G19">
            <v>67464455.5</v>
          </cell>
          <cell r="K19">
            <v>73787135.5</v>
          </cell>
        </row>
        <row r="20">
          <cell r="C20">
            <v>10</v>
          </cell>
          <cell r="G20">
            <v>0.89026603499066259</v>
          </cell>
          <cell r="K20">
            <v>0.82469114631719898</v>
          </cell>
        </row>
        <row r="21">
          <cell r="G21">
            <v>149221791</v>
          </cell>
          <cell r="K21">
            <v>159981833</v>
          </cell>
        </row>
        <row r="22">
          <cell r="G22">
            <v>167614831</v>
          </cell>
          <cell r="K22">
            <v>193989997</v>
          </cell>
        </row>
        <row r="24">
          <cell r="C24">
            <v>15</v>
          </cell>
          <cell r="G24">
            <v>0.76034298395985189</v>
          </cell>
          <cell r="K24">
            <v>0.76653757977496784</v>
          </cell>
        </row>
        <row r="25">
          <cell r="G25">
            <v>167614831</v>
          </cell>
          <cell r="K25">
            <v>168980407</v>
          </cell>
        </row>
        <row r="26">
          <cell r="G26">
            <v>220446344</v>
          </cell>
          <cell r="K26">
            <v>220446344</v>
          </cell>
        </row>
        <row r="27">
          <cell r="G27">
            <v>0</v>
          </cell>
        </row>
        <row r="28">
          <cell r="G28">
            <v>0</v>
          </cell>
        </row>
        <row r="30">
          <cell r="C30">
            <v>5</v>
          </cell>
          <cell r="G30">
            <v>7.2991888177031576</v>
          </cell>
          <cell r="K30">
            <v>2.4316934542627524</v>
          </cell>
        </row>
        <row r="31">
          <cell r="G31">
            <v>44443060</v>
          </cell>
          <cell r="K31">
            <v>54984594</v>
          </cell>
        </row>
        <row r="32">
          <cell r="G32">
            <v>11232059</v>
          </cell>
          <cell r="K32">
            <v>24818369</v>
          </cell>
        </row>
        <row r="33">
          <cell r="G33">
            <v>5143292</v>
          </cell>
          <cell r="K33">
            <v>2206722</v>
          </cell>
        </row>
        <row r="35">
          <cell r="C35">
            <v>5</v>
          </cell>
          <cell r="G35">
            <v>9.5413603443849961</v>
          </cell>
          <cell r="K35">
            <v>2.4555399259505513</v>
          </cell>
        </row>
        <row r="36">
          <cell r="G36">
            <v>58095120</v>
          </cell>
          <cell r="K36">
            <v>55523802</v>
          </cell>
        </row>
        <row r="37">
          <cell r="G37">
            <v>11232059</v>
          </cell>
          <cell r="K37">
            <v>24818369</v>
          </cell>
        </row>
        <row r="38">
          <cell r="G38">
            <v>5143292</v>
          </cell>
          <cell r="K38">
            <v>2206722</v>
          </cell>
        </row>
        <row r="39">
          <cell r="C39">
            <v>10</v>
          </cell>
          <cell r="G39">
            <v>10569568</v>
          </cell>
          <cell r="K39">
            <v>17639752</v>
          </cell>
        </row>
        <row r="40">
          <cell r="C40">
            <v>10</v>
          </cell>
          <cell r="G40">
            <v>1.1044776119402986</v>
          </cell>
          <cell r="K40">
            <v>1.8432835820895523</v>
          </cell>
        </row>
        <row r="42">
          <cell r="G42">
            <v>3350</v>
          </cell>
          <cell r="K42">
            <v>3350</v>
          </cell>
        </row>
        <row r="43">
          <cell r="G43">
            <v>3350</v>
          </cell>
          <cell r="K43">
            <v>3350</v>
          </cell>
        </row>
        <row r="44">
          <cell r="G44">
            <v>3700</v>
          </cell>
          <cell r="K44">
            <v>6175</v>
          </cell>
        </row>
      </sheetData>
      <sheetData sheetId="2">
        <row r="14">
          <cell r="G14">
            <v>21816360</v>
          </cell>
          <cell r="K14">
            <v>24547607</v>
          </cell>
        </row>
        <row r="16">
          <cell r="G16">
            <v>17317494</v>
          </cell>
          <cell r="K16">
            <v>19957219</v>
          </cell>
        </row>
        <row r="17">
          <cell r="G17">
            <v>3154851</v>
          </cell>
          <cell r="K17">
            <v>3673715</v>
          </cell>
        </row>
        <row r="21">
          <cell r="G21">
            <v>1344015</v>
          </cell>
          <cell r="K21">
            <v>916673</v>
          </cell>
        </row>
        <row r="23">
          <cell r="G23">
            <v>21816360</v>
          </cell>
          <cell r="K23">
            <v>24547607</v>
          </cell>
        </row>
        <row r="24">
          <cell r="G24">
            <v>23256309</v>
          </cell>
          <cell r="K24">
            <v>26480281.151349999</v>
          </cell>
        </row>
        <row r="25">
          <cell r="G25">
            <v>21816360</v>
          </cell>
          <cell r="K25">
            <v>24547607</v>
          </cell>
        </row>
        <row r="26">
          <cell r="G26">
            <v>1439949</v>
          </cell>
          <cell r="K26">
            <v>1932674.1513499999</v>
          </cell>
        </row>
        <row r="28">
          <cell r="G28">
            <v>23256309</v>
          </cell>
        </row>
        <row r="29">
          <cell r="G29">
            <v>0.94344384716171092</v>
          </cell>
          <cell r="K29">
            <v>0.87459215745026275</v>
          </cell>
        </row>
        <row r="31">
          <cell r="G31">
            <v>158135181</v>
          </cell>
          <cell r="K31">
            <v>169662130</v>
          </cell>
        </row>
        <row r="32">
          <cell r="G32">
            <v>149221791</v>
          </cell>
          <cell r="K32">
            <v>159981833</v>
          </cell>
        </row>
        <row r="33">
          <cell r="G33">
            <v>8913390</v>
          </cell>
          <cell r="K33">
            <v>9680297</v>
          </cell>
        </row>
        <row r="34">
          <cell r="G34">
            <v>433680</v>
          </cell>
          <cell r="K34">
            <v>888903</v>
          </cell>
        </row>
        <row r="35">
          <cell r="G35">
            <v>3450966</v>
          </cell>
          <cell r="K35">
            <v>2648828</v>
          </cell>
        </row>
        <row r="36">
          <cell r="G36">
            <v>5028744</v>
          </cell>
          <cell r="K36">
            <v>6142566</v>
          </cell>
        </row>
        <row r="37">
          <cell r="G37">
            <v>167614831</v>
          </cell>
          <cell r="K37">
            <v>193989997</v>
          </cell>
        </row>
        <row r="39">
          <cell r="G39">
            <v>64.403845555229395</v>
          </cell>
          <cell r="K39">
            <v>70.135987185958029</v>
          </cell>
        </row>
        <row r="40">
          <cell r="G40">
            <v>17317494</v>
          </cell>
          <cell r="K40">
            <v>19957219</v>
          </cell>
        </row>
        <row r="41">
          <cell r="G41">
            <v>26888913</v>
          </cell>
          <cell r="K41">
            <v>28455034</v>
          </cell>
        </row>
        <row r="43">
          <cell r="G43">
            <v>33.453932378543833</v>
          </cell>
          <cell r="K43">
            <v>36.43680247506434</v>
          </cell>
        </row>
        <row r="44">
          <cell r="G44">
            <v>17317494</v>
          </cell>
          <cell r="K44">
            <v>20004477</v>
          </cell>
        </row>
        <row r="45">
          <cell r="G45">
            <v>51765197</v>
          </cell>
          <cell r="K45">
            <v>54901845.5</v>
          </cell>
        </row>
        <row r="47">
          <cell r="G47">
            <v>1.7954107949934692</v>
          </cell>
          <cell r="K47">
            <v>0.28258711096984662</v>
          </cell>
        </row>
        <row r="48">
          <cell r="G48">
            <v>10931838</v>
          </cell>
          <cell r="K48">
            <v>6389760</v>
          </cell>
        </row>
        <row r="49">
          <cell r="G49">
            <v>6088767</v>
          </cell>
          <cell r="K49">
            <v>22611647</v>
          </cell>
        </row>
        <row r="51">
          <cell r="G51">
            <v>2.1812089229741249</v>
          </cell>
          <cell r="K51">
            <v>4.3415247385152549</v>
          </cell>
        </row>
        <row r="52">
          <cell r="G52">
            <v>167614831</v>
          </cell>
          <cell r="K52">
            <v>193989997</v>
          </cell>
        </row>
        <row r="53">
          <cell r="G53">
            <v>273</v>
          </cell>
          <cell r="K53">
            <v>273</v>
          </cell>
        </row>
        <row r="54">
          <cell r="G54">
            <v>1339205</v>
          </cell>
          <cell r="K54">
            <v>3085027</v>
          </cell>
        </row>
        <row r="56">
          <cell r="G56">
            <v>17.252801400372501</v>
          </cell>
          <cell r="K56">
            <v>9.7319048259998677</v>
          </cell>
        </row>
        <row r="57">
          <cell r="G57">
            <v>167614831</v>
          </cell>
          <cell r="K57">
            <v>193989997</v>
          </cell>
        </row>
        <row r="58">
          <cell r="G58">
            <v>273</v>
          </cell>
          <cell r="K58">
            <v>273</v>
          </cell>
        </row>
        <row r="59">
          <cell r="G59">
            <v>10592767</v>
          </cell>
          <cell r="K59">
            <v>6915356</v>
          </cell>
        </row>
        <row r="61">
          <cell r="G61">
            <v>0.60323539654232561</v>
          </cell>
          <cell r="K61">
            <v>0.55535335951695208</v>
          </cell>
        </row>
        <row r="62">
          <cell r="G62">
            <v>30126787</v>
          </cell>
          <cell r="K62">
            <v>27991908</v>
          </cell>
        </row>
        <row r="63">
          <cell r="G63">
            <v>49942008</v>
          </cell>
          <cell r="K63">
            <v>50403779</v>
          </cell>
        </row>
        <row r="65">
          <cell r="G65">
            <v>491539.09384164226</v>
          </cell>
          <cell r="K65">
            <v>593241.58103975537</v>
          </cell>
        </row>
        <row r="66">
          <cell r="G66">
            <v>167614831</v>
          </cell>
          <cell r="K66">
            <v>193989997</v>
          </cell>
        </row>
        <row r="67">
          <cell r="G67">
            <v>341</v>
          </cell>
          <cell r="K67">
            <v>327</v>
          </cell>
        </row>
        <row r="69">
          <cell r="G69">
            <v>0.61904936614131123</v>
          </cell>
          <cell r="K69">
            <v>0.32762716117600527</v>
          </cell>
        </row>
        <row r="70">
          <cell r="G70">
            <v>12266600</v>
          </cell>
          <cell r="K70">
            <v>7342738</v>
          </cell>
        </row>
        <row r="71">
          <cell r="G71">
            <v>19815221</v>
          </cell>
          <cell r="K71">
            <v>22411872</v>
          </cell>
        </row>
        <row r="73">
          <cell r="G73">
            <v>10.760090158495712</v>
          </cell>
          <cell r="K73">
            <v>9.8415271103788999</v>
          </cell>
        </row>
        <row r="74">
          <cell r="G74">
            <v>167614831</v>
          </cell>
          <cell r="K74">
            <v>193989997</v>
          </cell>
        </row>
        <row r="75">
          <cell r="G75">
            <v>15577456</v>
          </cell>
          <cell r="K75">
            <v>19711371.5</v>
          </cell>
        </row>
        <row r="77">
          <cell r="G77">
            <v>71.172413793103445</v>
          </cell>
          <cell r="K77">
            <v>69.334641909814323</v>
          </cell>
        </row>
        <row r="78">
          <cell r="G78">
            <v>26832</v>
          </cell>
          <cell r="K78">
            <v>26139.16</v>
          </cell>
        </row>
        <row r="79">
          <cell r="G79">
            <v>341</v>
          </cell>
          <cell r="K79">
            <v>327</v>
          </cell>
        </row>
        <row r="81">
          <cell r="G81">
            <v>1.0088757396449703</v>
          </cell>
          <cell r="K81">
            <v>1.0275229357798166</v>
          </cell>
        </row>
        <row r="82">
          <cell r="G82" t="str">
            <v>343  /   338</v>
          </cell>
          <cell r="K82" t="str">
            <v>336 / 327</v>
          </cell>
        </row>
        <row r="84">
          <cell r="G84">
            <v>6.5596364541690839</v>
          </cell>
          <cell r="K84">
            <v>5.9439600164356934</v>
          </cell>
        </row>
        <row r="85">
          <cell r="G85">
            <v>9788407</v>
          </cell>
          <cell r="K85">
            <v>9579551.6536500007</v>
          </cell>
        </row>
        <row r="86">
          <cell r="G86">
            <v>149221791</v>
          </cell>
          <cell r="K86">
            <v>161164469.93522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45">
          <cell r="G45">
            <v>113.88421190674461</v>
          </cell>
        </row>
      </sheetData>
      <sheetData sheetId="10">
        <row r="88">
          <cell r="Q88">
            <v>101.19434536195523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 тех экон показ22г утв"/>
      <sheetName val="Основ тех экон показ22г утв (2"/>
      <sheetName val="по мес 22"/>
      <sheetName val="по мес-2"/>
      <sheetName val="2-Программа кап.влож."/>
      <sheetName val="3-план произв"/>
      <sheetName val="4-план реализ"/>
      <sheetName val="5-Свод затрат  с ТЭР"/>
      <sheetName val="5а-Свод затрат  с ТЭР Мощн"/>
      <sheetName val="5.б.Состав себестоим"/>
      <sheetName val="6-Потребности"/>
      <sheetName val="7.Фонд по охр труда 22г"/>
      <sheetName val="8-Затр.на охр.туда"/>
      <sheetName val="9-Прямые произв затраты"/>
      <sheetName val="9а-Сметы  затрат ППЗ"/>
      <sheetName val="10-Аморт"/>
      <sheetName val="10-ОС и НА"/>
      <sheetName val="11-Расх периода 22г"/>
      <sheetName val="11-Расх периода 22г (2)"/>
      <sheetName val="12-Расчет налогов"/>
      <sheetName val="Расчет акциз налога"/>
      <sheetName val="13-Исп мощ"/>
      <sheetName val="14-ФЭП"/>
      <sheetName val="15-Спонсор."/>
      <sheetName val="16-Калькуляция"/>
      <sheetName val="Сниж.себ2020-22гг"/>
      <sheetName val="18-Сниж.себ"/>
      <sheetName val="20-Повыш.квал."/>
      <sheetName val="21-НРП"/>
      <sheetName val="22-Вознаг_21"/>
      <sheetName val="24-Форма № 4"/>
      <sheetName val="25-Фин резул"/>
      <sheetName val="25.1.-Форма № 2 2018-2024гг"/>
      <sheetName val="25.2.-Форма № 2"/>
      <sheetName val="26.1-Баланс по кварт"/>
      <sheetName val="26.2.-Баланс 2020"/>
      <sheetName val="погашение долгов"/>
      <sheetName val="29-Устав.кап"/>
      <sheetName val="КПЭ основ"/>
      <sheetName val="КПЭ допол"/>
      <sheetName val="УВ КПЭ основ"/>
      <sheetName val="УВ КПЭ допол"/>
      <sheetName val="Рент привлеч,акцион кап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6">
          <cell r="E6">
            <v>21369200</v>
          </cell>
          <cell r="I6">
            <v>29375738.5</v>
          </cell>
        </row>
        <row r="25">
          <cell r="E25">
            <v>26888913</v>
          </cell>
          <cell r="I25">
            <v>25291151</v>
          </cell>
        </row>
        <row r="49">
          <cell r="J49">
            <v>51931283.5</v>
          </cell>
        </row>
        <row r="72">
          <cell r="E72">
            <v>51765197</v>
          </cell>
          <cell r="J72">
            <v>57733511.5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14"/>
  <sheetViews>
    <sheetView tabSelected="1" workbookViewId="0">
      <selection activeCell="A19" sqref="A19"/>
    </sheetView>
  </sheetViews>
  <sheetFormatPr defaultRowHeight="12.75"/>
  <cols>
    <col min="1" max="1" width="53.7109375" customWidth="1"/>
    <col min="2" max="2" width="37.7109375" customWidth="1"/>
  </cols>
  <sheetData>
    <row r="1" spans="1:2" ht="21.75" customHeight="1">
      <c r="A1" s="100" t="s">
        <v>163</v>
      </c>
      <c r="B1" s="100"/>
    </row>
    <row r="2" spans="1:2" ht="21" customHeight="1">
      <c r="A2" s="100" t="s">
        <v>164</v>
      </c>
      <c r="B2" s="100"/>
    </row>
    <row r="3" spans="1:2" ht="21" customHeight="1" thickBot="1"/>
    <row r="4" spans="1:2" ht="16.5" thickBot="1">
      <c r="A4" s="84" t="s">
        <v>165</v>
      </c>
      <c r="B4" s="85" t="s">
        <v>16</v>
      </c>
    </row>
    <row r="5" spans="1:2" ht="39" customHeight="1">
      <c r="A5" s="86" t="s">
        <v>166</v>
      </c>
      <c r="B5" s="87">
        <f>'[1]КПЭ осн 9 месг22г'!G45</f>
        <v>113.88421190674461</v>
      </c>
    </row>
    <row r="6" spans="1:2" ht="38.25" customHeight="1">
      <c r="A6" s="88" t="s">
        <v>167</v>
      </c>
      <c r="B6" s="89">
        <f>'[1]КПЭ доп 9 мес 22'!Q88</f>
        <v>101.19434536195523</v>
      </c>
    </row>
    <row r="7" spans="1:2" ht="34.5" customHeight="1" thickBot="1">
      <c r="A7" s="90" t="s">
        <v>168</v>
      </c>
      <c r="B7" s="91">
        <f>(B5+B6)/2</f>
        <v>107.53927863434993</v>
      </c>
    </row>
    <row r="8" spans="1:2" ht="50.25" customHeight="1"/>
    <row r="9" spans="1:2" ht="15.75">
      <c r="A9" s="101" t="s">
        <v>169</v>
      </c>
      <c r="B9" s="101"/>
    </row>
    <row r="10" spans="1:2" ht="20.25" customHeight="1">
      <c r="A10" s="92" t="s">
        <v>170</v>
      </c>
      <c r="B10" s="93"/>
    </row>
    <row r="11" spans="1:2" ht="15.75">
      <c r="A11" s="94"/>
      <c r="B11" s="94"/>
    </row>
    <row r="12" spans="1:2" ht="15.75">
      <c r="A12" s="102" t="s">
        <v>171</v>
      </c>
      <c r="B12" s="102"/>
    </row>
    <row r="13" spans="1:2">
      <c r="A13" s="82"/>
      <c r="B13" s="82"/>
    </row>
    <row r="14" spans="1:2" ht="15.75">
      <c r="A14" s="102" t="s">
        <v>172</v>
      </c>
      <c r="B14" s="102"/>
    </row>
  </sheetData>
  <mergeCells count="5">
    <mergeCell ref="A1:B1"/>
    <mergeCell ref="A2:B2"/>
    <mergeCell ref="A9:B9"/>
    <mergeCell ref="A12:B12"/>
    <mergeCell ref="A14:B14"/>
  </mergeCells>
  <pageMargins left="0.70866141732283472" right="0.3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8"/>
  <sheetViews>
    <sheetView topLeftCell="A85" workbookViewId="0">
      <selection activeCell="B119" sqref="B119"/>
    </sheetView>
  </sheetViews>
  <sheetFormatPr defaultRowHeight="12.75"/>
  <cols>
    <col min="1" max="1" width="8" customWidth="1"/>
    <col min="2" max="2" width="36.5703125" customWidth="1"/>
    <col min="3" max="3" width="12.85546875" hidden="1" customWidth="1"/>
    <col min="4" max="4" width="12.85546875" customWidth="1"/>
    <col min="5" max="5" width="13.140625" customWidth="1"/>
    <col min="6" max="6" width="14.28515625" hidden="1" customWidth="1"/>
    <col min="7" max="7" width="13.28515625" hidden="1" customWidth="1"/>
    <col min="8" max="8" width="12.28515625" hidden="1" customWidth="1"/>
    <col min="9" max="9" width="12.42578125" customWidth="1"/>
    <col min="10" max="10" width="11.85546875" hidden="1" customWidth="1"/>
    <col min="11" max="11" width="11.42578125" hidden="1" customWidth="1"/>
    <col min="12" max="12" width="11.5703125" hidden="1" customWidth="1"/>
    <col min="13" max="13" width="11.85546875" customWidth="1"/>
    <col min="14" max="16" width="0" hidden="1" customWidth="1"/>
    <col min="17" max="17" width="12.42578125" customWidth="1"/>
    <col min="18" max="20" width="0" hidden="1" customWidth="1"/>
    <col min="22" max="22" width="12.140625" customWidth="1"/>
    <col min="23" max="23" width="12.42578125" customWidth="1"/>
    <col min="24" max="24" width="12.5703125" customWidth="1"/>
    <col min="25" max="25" width="12.85546875" customWidth="1"/>
    <col min="26" max="26" width="10.85546875" customWidth="1"/>
  </cols>
  <sheetData>
    <row r="1" spans="1:23" ht="15.75">
      <c r="A1" s="1" t="s">
        <v>0</v>
      </c>
      <c r="B1" s="1"/>
      <c r="C1" s="2"/>
      <c r="D1" s="2"/>
      <c r="E1" s="3"/>
      <c r="F1" s="103" t="s">
        <v>1</v>
      </c>
      <c r="G1" s="103"/>
      <c r="H1" s="103"/>
      <c r="I1" s="103" t="s">
        <v>1</v>
      </c>
      <c r="J1" s="103"/>
      <c r="K1" s="103"/>
      <c r="L1" s="103"/>
      <c r="M1" s="103"/>
      <c r="N1" s="103"/>
      <c r="O1" s="103"/>
      <c r="P1" s="103"/>
      <c r="Q1" s="103"/>
    </row>
    <row r="2" spans="1:23" ht="15.75">
      <c r="A2" s="4" t="s">
        <v>2</v>
      </c>
      <c r="B2" s="4"/>
      <c r="C2" s="2"/>
      <c r="D2" s="2"/>
      <c r="E2" s="3"/>
      <c r="F2" s="104" t="s">
        <v>3</v>
      </c>
      <c r="G2" s="104"/>
      <c r="H2" s="104"/>
      <c r="I2" s="104" t="s">
        <v>3</v>
      </c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</row>
    <row r="3" spans="1:23" ht="15.75">
      <c r="A3" s="4" t="s">
        <v>4</v>
      </c>
      <c r="B3" s="4"/>
      <c r="C3" s="2"/>
      <c r="D3" s="2"/>
      <c r="E3" s="3"/>
      <c r="F3" s="104" t="s">
        <v>5</v>
      </c>
      <c r="G3" s="104"/>
      <c r="H3" s="104"/>
      <c r="I3" s="104" t="s">
        <v>5</v>
      </c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</row>
    <row r="4" spans="1:23" ht="25.5" customHeight="1">
      <c r="A4" s="4"/>
      <c r="B4" s="4"/>
      <c r="C4" s="2"/>
      <c r="D4" s="2"/>
      <c r="E4" s="3"/>
      <c r="F4" s="5" t="s">
        <v>71</v>
      </c>
      <c r="G4" s="5"/>
      <c r="H4" s="5"/>
      <c r="I4" s="5" t="s">
        <v>71</v>
      </c>
      <c r="J4" s="5"/>
      <c r="K4" s="5"/>
    </row>
    <row r="5" spans="1:23" ht="15.75">
      <c r="A5" s="4"/>
      <c r="B5" s="4"/>
      <c r="C5" s="2" t="s">
        <v>72</v>
      </c>
      <c r="D5" s="2"/>
      <c r="E5" s="3"/>
      <c r="F5" s="5" t="s">
        <v>73</v>
      </c>
      <c r="G5" s="5"/>
      <c r="H5" s="5"/>
      <c r="I5" s="5" t="s">
        <v>7</v>
      </c>
      <c r="J5" s="5"/>
      <c r="K5" s="5"/>
    </row>
    <row r="6" spans="1:23" ht="15">
      <c r="A6" s="106"/>
      <c r="B6" s="106"/>
      <c r="C6" s="106"/>
      <c r="D6" s="106"/>
      <c r="E6" s="106"/>
      <c r="F6" s="106"/>
      <c r="G6" s="106"/>
      <c r="H6" s="106"/>
    </row>
    <row r="7" spans="1:23" ht="14.25">
      <c r="A7" s="107" t="s">
        <v>8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</row>
    <row r="8" spans="1:23" ht="14.25">
      <c r="A8" s="108" t="s">
        <v>74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</row>
    <row r="9" spans="1:23" ht="14.25">
      <c r="A9" s="7"/>
      <c r="B9" s="7"/>
      <c r="C9" s="8"/>
      <c r="D9" s="8"/>
      <c r="E9" s="7"/>
      <c r="F9" s="7"/>
      <c r="G9" s="7"/>
      <c r="H9" s="7"/>
    </row>
    <row r="10" spans="1:23" ht="14.25" customHeight="1">
      <c r="A10" s="109" t="s">
        <v>10</v>
      </c>
      <c r="B10" s="110" t="s">
        <v>11</v>
      </c>
      <c r="C10" s="111" t="s">
        <v>75</v>
      </c>
      <c r="D10" s="112" t="s">
        <v>76</v>
      </c>
      <c r="E10" s="113" t="s">
        <v>13</v>
      </c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45"/>
    </row>
    <row r="11" spans="1:23" ht="12.75" customHeight="1">
      <c r="A11" s="109"/>
      <c r="B11" s="110"/>
      <c r="C11" s="111"/>
      <c r="D11" s="112"/>
      <c r="E11" s="109" t="s">
        <v>14</v>
      </c>
      <c r="F11" s="109" t="s">
        <v>15</v>
      </c>
      <c r="G11" s="112" t="s">
        <v>16</v>
      </c>
      <c r="H11" s="112" t="s">
        <v>17</v>
      </c>
      <c r="I11" s="109" t="s">
        <v>15</v>
      </c>
      <c r="J11" s="46"/>
      <c r="K11" s="46"/>
      <c r="L11" s="46"/>
      <c r="M11" s="112" t="s">
        <v>16</v>
      </c>
      <c r="N11" s="112"/>
      <c r="O11" s="112"/>
      <c r="P11" s="112"/>
      <c r="Q11" s="112" t="s">
        <v>17</v>
      </c>
      <c r="R11" s="112"/>
      <c r="S11" s="112"/>
      <c r="T11" s="112"/>
      <c r="U11" s="45"/>
      <c r="W11" s="44"/>
    </row>
    <row r="12" spans="1:23" ht="25.5">
      <c r="A12" s="109"/>
      <c r="B12" s="110"/>
      <c r="C12" s="111"/>
      <c r="D12" s="112"/>
      <c r="E12" s="109"/>
      <c r="F12" s="109"/>
      <c r="G12" s="112"/>
      <c r="H12" s="112"/>
      <c r="I12" s="109"/>
      <c r="J12" s="16" t="s">
        <v>77</v>
      </c>
      <c r="K12" s="16" t="s">
        <v>78</v>
      </c>
      <c r="L12" s="13" t="s">
        <v>79</v>
      </c>
      <c r="M12" s="112"/>
      <c r="N12" s="112"/>
      <c r="O12" s="112"/>
      <c r="P12" s="112"/>
      <c r="Q12" s="112"/>
      <c r="R12" s="112"/>
      <c r="S12" s="112"/>
      <c r="T12" s="112"/>
      <c r="U12" s="47"/>
    </row>
    <row r="13" spans="1:23">
      <c r="A13" s="13"/>
      <c r="B13" s="33"/>
      <c r="C13" s="48" t="s">
        <v>18</v>
      </c>
      <c r="D13" s="48"/>
      <c r="E13" s="15" t="s">
        <v>19</v>
      </c>
      <c r="F13" s="15" t="s">
        <v>19</v>
      </c>
      <c r="G13" s="15" t="s">
        <v>19</v>
      </c>
      <c r="H13" s="15" t="s">
        <v>19</v>
      </c>
      <c r="I13" s="15" t="s">
        <v>20</v>
      </c>
      <c r="J13" s="15" t="s">
        <v>20</v>
      </c>
      <c r="K13" s="15" t="s">
        <v>20</v>
      </c>
      <c r="L13" s="15" t="s">
        <v>20</v>
      </c>
      <c r="M13" s="16" t="s">
        <v>21</v>
      </c>
      <c r="N13" s="16" t="s">
        <v>21</v>
      </c>
      <c r="O13" s="16" t="s">
        <v>21</v>
      </c>
      <c r="P13" s="16" t="s">
        <v>21</v>
      </c>
      <c r="Q13" s="16"/>
      <c r="R13" s="16"/>
      <c r="S13" s="16"/>
      <c r="T13" s="16"/>
      <c r="U13" s="47"/>
    </row>
    <row r="14" spans="1:23" ht="26.25" customHeight="1">
      <c r="A14" s="15" t="s">
        <v>22</v>
      </c>
      <c r="B14" s="30" t="s">
        <v>80</v>
      </c>
      <c r="C14" s="33">
        <v>10</v>
      </c>
      <c r="D14" s="33">
        <v>10</v>
      </c>
      <c r="E14" s="49">
        <f>'[1]КПЭ допол'!G14</f>
        <v>21816360</v>
      </c>
      <c r="F14" s="49">
        <f>F23</f>
        <v>28702664</v>
      </c>
      <c r="G14" s="49">
        <f>G23</f>
        <v>36138971</v>
      </c>
      <c r="H14" s="49">
        <f>H23</f>
        <v>42982469</v>
      </c>
      <c r="I14" s="49">
        <f>'[1]КПЭ допол'!K14</f>
        <v>24547607</v>
      </c>
      <c r="J14" s="49"/>
      <c r="K14" s="49"/>
      <c r="L14" s="49"/>
      <c r="M14" s="50">
        <f>I14/E14*100</f>
        <v>112.51926077494136</v>
      </c>
      <c r="N14" s="50">
        <f>J14/F14*100</f>
        <v>0</v>
      </c>
      <c r="O14" s="50">
        <f>K14/G14*100</f>
        <v>0</v>
      </c>
      <c r="P14" s="50">
        <f>L14/H14*100</f>
        <v>0</v>
      </c>
      <c r="Q14" s="33">
        <f>C14*M14/100</f>
        <v>11.251926077494137</v>
      </c>
      <c r="R14" s="51">
        <f>C14*N14/100</f>
        <v>0</v>
      </c>
      <c r="S14" s="51">
        <f>O14*C14/100</f>
        <v>0</v>
      </c>
      <c r="T14" s="51">
        <f>C14*P14/100</f>
        <v>0</v>
      </c>
      <c r="U14" s="47" t="s">
        <v>24</v>
      </c>
    </row>
    <row r="15" spans="1:23">
      <c r="A15" s="21"/>
      <c r="B15" s="32"/>
      <c r="C15" s="33"/>
      <c r="D15" s="33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48"/>
      <c r="R15" s="53"/>
      <c r="S15" s="53"/>
      <c r="T15" s="53"/>
      <c r="U15" s="47"/>
    </row>
    <row r="16" spans="1:23">
      <c r="A16" s="21"/>
      <c r="B16" s="32" t="s">
        <v>81</v>
      </c>
      <c r="C16" s="33"/>
      <c r="D16" s="33"/>
      <c r="E16" s="52">
        <f>'[1]КПЭ допол'!G16</f>
        <v>17317494</v>
      </c>
      <c r="F16" s="52">
        <f>E16+5325694</f>
        <v>22643188</v>
      </c>
      <c r="G16" s="52">
        <f>F16+5997750</f>
        <v>28640938</v>
      </c>
      <c r="H16" s="52">
        <f>G16+5606706</f>
        <v>34247644</v>
      </c>
      <c r="I16" s="52">
        <f>'[1]КПЭ допол'!K16</f>
        <v>19957219</v>
      </c>
      <c r="J16" s="52"/>
      <c r="K16" s="52"/>
      <c r="L16" s="52"/>
      <c r="M16" s="48"/>
      <c r="N16" s="48"/>
      <c r="O16" s="48"/>
      <c r="P16" s="48"/>
      <c r="Q16" s="48"/>
      <c r="R16" s="32"/>
      <c r="S16" s="32"/>
      <c r="T16" s="32"/>
      <c r="U16" s="47"/>
    </row>
    <row r="17" spans="1:21">
      <c r="A17" s="21"/>
      <c r="B17" s="32" t="s">
        <v>82</v>
      </c>
      <c r="C17" s="33"/>
      <c r="D17" s="33"/>
      <c r="E17" s="52">
        <f>'[1]КПЭ допол'!G17</f>
        <v>3154851</v>
      </c>
      <c r="F17" s="52">
        <f>E17+989240</f>
        <v>4144091</v>
      </c>
      <c r="G17" s="52">
        <f>F17+1058426</f>
        <v>5202517</v>
      </c>
      <c r="H17" s="52">
        <f>G17+1024076</f>
        <v>6226593</v>
      </c>
      <c r="I17" s="52">
        <f>'[1]КПЭ допол'!K17</f>
        <v>3673715</v>
      </c>
      <c r="J17" s="52"/>
      <c r="K17" s="49"/>
      <c r="L17" s="49"/>
      <c r="M17" s="33"/>
      <c r="N17" s="33"/>
      <c r="O17" s="33"/>
      <c r="P17" s="33"/>
      <c r="Q17" s="33"/>
      <c r="R17" s="15"/>
      <c r="S17" s="15"/>
      <c r="T17" s="15"/>
      <c r="U17" s="47"/>
    </row>
    <row r="18" spans="1:21">
      <c r="A18" s="21"/>
      <c r="B18" s="32" t="s">
        <v>83</v>
      </c>
      <c r="C18" s="33"/>
      <c r="D18" s="33"/>
      <c r="E18" s="52">
        <f>'[1]КПЭ допол'!G18</f>
        <v>0</v>
      </c>
      <c r="F18" s="52"/>
      <c r="G18" s="52"/>
      <c r="H18" s="52"/>
      <c r="I18" s="52">
        <f>'[1]КПЭ допол'!K18</f>
        <v>0</v>
      </c>
      <c r="J18" s="48"/>
      <c r="K18" s="52"/>
      <c r="L18" s="48"/>
      <c r="M18" s="48"/>
      <c r="N18" s="48"/>
      <c r="O18" s="48"/>
      <c r="P18" s="48"/>
      <c r="Q18" s="48"/>
      <c r="R18" s="32"/>
      <c r="S18" s="32"/>
      <c r="T18" s="32"/>
      <c r="U18" s="47"/>
    </row>
    <row r="19" spans="1:21">
      <c r="A19" s="21"/>
      <c r="B19" s="32" t="s">
        <v>84</v>
      </c>
      <c r="C19" s="33"/>
      <c r="D19" s="33"/>
      <c r="E19" s="52">
        <f>'[1]КПЭ допол'!G19</f>
        <v>0</v>
      </c>
      <c r="F19" s="52"/>
      <c r="G19" s="52"/>
      <c r="H19" s="52"/>
      <c r="I19" s="52">
        <f>'[1]КПЭ допол'!K19</f>
        <v>0</v>
      </c>
      <c r="J19" s="48"/>
      <c r="K19" s="52"/>
      <c r="L19" s="48"/>
      <c r="M19" s="48"/>
      <c r="N19" s="48"/>
      <c r="O19" s="48"/>
      <c r="P19" s="48"/>
      <c r="Q19" s="48"/>
      <c r="R19" s="32"/>
      <c r="S19" s="32"/>
      <c r="T19" s="32"/>
      <c r="U19" s="47"/>
    </row>
    <row r="20" spans="1:21">
      <c r="A20" s="21"/>
      <c r="B20" s="32" t="s">
        <v>85</v>
      </c>
      <c r="C20" s="33"/>
      <c r="D20" s="33"/>
      <c r="E20" s="52">
        <f>'[1]КПЭ допол'!G20</f>
        <v>0</v>
      </c>
      <c r="F20" s="52"/>
      <c r="G20" s="52"/>
      <c r="H20" s="52"/>
      <c r="I20" s="52">
        <f>'[1]КПЭ допол'!K20</f>
        <v>0</v>
      </c>
      <c r="J20" s="48"/>
      <c r="K20" s="52"/>
      <c r="L20" s="48"/>
      <c r="M20" s="48"/>
      <c r="N20" s="48"/>
      <c r="O20" s="48"/>
      <c r="P20" s="48"/>
      <c r="Q20" s="48"/>
      <c r="R20" s="32"/>
      <c r="S20" s="32"/>
      <c r="T20" s="32"/>
      <c r="U20" s="47"/>
    </row>
    <row r="21" spans="1:21">
      <c r="A21" s="21"/>
      <c r="B21" s="32" t="s">
        <v>86</v>
      </c>
      <c r="C21" s="33"/>
      <c r="D21" s="33"/>
      <c r="E21" s="52">
        <f>'[1]КПЭ допол'!G21</f>
        <v>1344015</v>
      </c>
      <c r="F21" s="52">
        <f>E21+571370</f>
        <v>1915385</v>
      </c>
      <c r="G21" s="52">
        <f>F21+380131</f>
        <v>2295516</v>
      </c>
      <c r="H21" s="52">
        <f>G21+212716</f>
        <v>2508232</v>
      </c>
      <c r="I21" s="52">
        <f>'[1]КПЭ допол'!K21</f>
        <v>916673</v>
      </c>
      <c r="J21" s="52"/>
      <c r="K21" s="52"/>
      <c r="L21" s="52"/>
      <c r="M21" s="54"/>
      <c r="N21" s="54"/>
      <c r="O21" s="54"/>
      <c r="P21" s="54"/>
      <c r="Q21" s="48"/>
      <c r="R21" s="55"/>
      <c r="S21" s="55"/>
      <c r="T21" s="55"/>
      <c r="U21" s="47"/>
    </row>
    <row r="22" spans="1:21">
      <c r="A22" s="21"/>
      <c r="B22" s="32" t="s">
        <v>87</v>
      </c>
      <c r="C22" s="33"/>
      <c r="D22" s="33"/>
      <c r="E22" s="52">
        <f>'[1]КПЭ допол'!G22</f>
        <v>0</v>
      </c>
      <c r="F22" s="52"/>
      <c r="G22" s="52"/>
      <c r="H22" s="52"/>
      <c r="I22" s="52">
        <f>'[1]КПЭ допол'!K22</f>
        <v>0</v>
      </c>
      <c r="J22" s="52"/>
      <c r="K22" s="52"/>
      <c r="L22" s="52"/>
      <c r="M22" s="54"/>
      <c r="N22" s="54"/>
      <c r="O22" s="54"/>
      <c r="P22" s="54"/>
      <c r="Q22" s="48"/>
      <c r="R22" s="55"/>
      <c r="S22" s="55"/>
      <c r="T22" s="55"/>
      <c r="U22" s="47"/>
    </row>
    <row r="23" spans="1:21">
      <c r="A23" s="21"/>
      <c r="B23" s="21" t="s">
        <v>88</v>
      </c>
      <c r="C23" s="33"/>
      <c r="D23" s="33"/>
      <c r="E23" s="49">
        <f>'[1]КПЭ допол'!G23</f>
        <v>21816360</v>
      </c>
      <c r="F23" s="49">
        <f>SUM(F16:F22)</f>
        <v>28702664</v>
      </c>
      <c r="G23" s="49">
        <f>SUM(G16:G22)</f>
        <v>36138971</v>
      </c>
      <c r="H23" s="49">
        <f>SUM(H16:H22)</f>
        <v>42982469</v>
      </c>
      <c r="I23" s="49">
        <f>'[1]КПЭ допол'!K23</f>
        <v>24547607</v>
      </c>
      <c r="J23" s="49"/>
      <c r="K23" s="49"/>
      <c r="L23" s="49"/>
      <c r="M23" s="48"/>
      <c r="N23" s="48"/>
      <c r="O23" s="48"/>
      <c r="P23" s="48"/>
      <c r="Q23" s="48"/>
      <c r="R23" s="32"/>
      <c r="S23" s="32"/>
      <c r="T23" s="32"/>
      <c r="U23" s="47"/>
    </row>
    <row r="24" spans="1:21" ht="42" customHeight="1">
      <c r="A24" s="15" t="s">
        <v>25</v>
      </c>
      <c r="B24" s="30" t="s">
        <v>89</v>
      </c>
      <c r="C24" s="33">
        <v>10</v>
      </c>
      <c r="D24" s="33">
        <v>10</v>
      </c>
      <c r="E24" s="49">
        <f>'[1]КПЭ допол'!G24</f>
        <v>23256309</v>
      </c>
      <c r="F24" s="49">
        <f>F23+F26</f>
        <v>30622596</v>
      </c>
      <c r="G24" s="49">
        <f>G23+G26</f>
        <v>38538886</v>
      </c>
      <c r="H24" s="49">
        <f>H23+H26</f>
        <v>45862367</v>
      </c>
      <c r="I24" s="49">
        <f>'[1]КПЭ допол'!K24</f>
        <v>26480281.151349999</v>
      </c>
      <c r="J24" s="49"/>
      <c r="K24" s="49"/>
      <c r="L24" s="49"/>
      <c r="M24" s="50">
        <f>I24/E24*100</f>
        <v>113.86278515369743</v>
      </c>
      <c r="N24" s="50">
        <f>J24/F24*100</f>
        <v>0</v>
      </c>
      <c r="O24" s="50">
        <f>K24/G24*100</f>
        <v>0</v>
      </c>
      <c r="P24" s="50">
        <f>L24/H24*100</f>
        <v>0</v>
      </c>
      <c r="Q24" s="33">
        <f>C24*M24/100</f>
        <v>11.386278515369742</v>
      </c>
      <c r="R24" s="51">
        <f>C24*N24/100</f>
        <v>0</v>
      </c>
      <c r="S24" s="51">
        <f>O24*C24/100</f>
        <v>0</v>
      </c>
      <c r="T24" s="51">
        <f>C24*P24/100</f>
        <v>0</v>
      </c>
      <c r="U24" s="47" t="s">
        <v>24</v>
      </c>
    </row>
    <row r="25" spans="1:21">
      <c r="A25" s="15"/>
      <c r="B25" s="32" t="s">
        <v>90</v>
      </c>
      <c r="C25" s="48"/>
      <c r="D25" s="48"/>
      <c r="E25" s="52">
        <f>'[1]КПЭ допол'!G25</f>
        <v>21816360</v>
      </c>
      <c r="F25" s="52">
        <f>F23</f>
        <v>28702664</v>
      </c>
      <c r="G25" s="52">
        <f>G23</f>
        <v>36138971</v>
      </c>
      <c r="H25" s="52">
        <f>H23</f>
        <v>42982469</v>
      </c>
      <c r="I25" s="52">
        <f>'[1]КПЭ допол'!K25</f>
        <v>24547607</v>
      </c>
      <c r="J25" s="49"/>
      <c r="K25" s="49"/>
      <c r="L25" s="49"/>
      <c r="M25" s="49"/>
      <c r="N25" s="49"/>
      <c r="O25" s="49"/>
      <c r="P25" s="49"/>
      <c r="Q25" s="33"/>
      <c r="R25" s="56"/>
      <c r="S25" s="56"/>
      <c r="T25" s="56"/>
      <c r="U25" s="47"/>
    </row>
    <row r="26" spans="1:21" ht="29.25" customHeight="1">
      <c r="A26" s="21"/>
      <c r="B26" s="24" t="s">
        <v>91</v>
      </c>
      <c r="C26" s="33"/>
      <c r="D26" s="33"/>
      <c r="E26" s="52">
        <f>'[1]КПЭ допол'!G26</f>
        <v>1439949</v>
      </c>
      <c r="F26" s="52">
        <f>E26+479983</f>
        <v>1919932</v>
      </c>
      <c r="G26" s="52">
        <f>F26+479983</f>
        <v>2399915</v>
      </c>
      <c r="H26" s="52">
        <f>G26+479983</f>
        <v>2879898</v>
      </c>
      <c r="I26" s="52">
        <f>'[1]КПЭ допол'!K26</f>
        <v>1932674.1513499999</v>
      </c>
      <c r="J26" s="52"/>
      <c r="K26" s="52"/>
      <c r="L26" s="52"/>
      <c r="M26" s="52"/>
      <c r="N26" s="52"/>
      <c r="O26" s="52"/>
      <c r="P26" s="52"/>
      <c r="Q26" s="48"/>
      <c r="R26" s="53"/>
      <c r="S26" s="53"/>
      <c r="T26" s="53"/>
      <c r="U26" s="47"/>
    </row>
    <row r="27" spans="1:21">
      <c r="A27" s="21"/>
      <c r="B27" s="32" t="s">
        <v>92</v>
      </c>
      <c r="C27" s="33"/>
      <c r="D27" s="33"/>
      <c r="E27" s="49"/>
      <c r="F27" s="52"/>
      <c r="G27" s="52"/>
      <c r="H27" s="52"/>
      <c r="I27" s="49"/>
      <c r="J27" s="48"/>
      <c r="K27" s="48"/>
      <c r="L27" s="48"/>
      <c r="M27" s="48"/>
      <c r="N27" s="48"/>
      <c r="O27" s="48"/>
      <c r="P27" s="48"/>
      <c r="Q27" s="48"/>
      <c r="R27" s="32"/>
      <c r="S27" s="32"/>
      <c r="T27" s="32"/>
      <c r="U27" s="47"/>
    </row>
    <row r="28" spans="1:21">
      <c r="A28" s="21"/>
      <c r="B28" s="21" t="s">
        <v>93</v>
      </c>
      <c r="C28" s="33"/>
      <c r="D28" s="33"/>
      <c r="E28" s="49">
        <f>'[1]КПЭ допол'!G28</f>
        <v>23256309</v>
      </c>
      <c r="F28" s="49">
        <f t="shared" ref="F28:H28" si="0">F23+F26</f>
        <v>30622596</v>
      </c>
      <c r="G28" s="49">
        <f t="shared" si="0"/>
        <v>38538886</v>
      </c>
      <c r="H28" s="49">
        <f t="shared" si="0"/>
        <v>45862367</v>
      </c>
      <c r="I28" s="49">
        <f>SUM(I25:I27)</f>
        <v>26480281.151349999</v>
      </c>
      <c r="J28" s="49"/>
      <c r="K28" s="49"/>
      <c r="L28" s="49"/>
      <c r="M28" s="48"/>
      <c r="N28" s="48"/>
      <c r="O28" s="48"/>
      <c r="P28" s="48"/>
      <c r="Q28" s="48"/>
      <c r="R28" s="32"/>
      <c r="S28" s="32"/>
      <c r="T28" s="32"/>
      <c r="U28" s="47"/>
    </row>
    <row r="29" spans="1:21" ht="17.25" customHeight="1">
      <c r="A29" s="15" t="s">
        <v>27</v>
      </c>
      <c r="B29" s="30" t="s">
        <v>94</v>
      </c>
      <c r="C29" s="33">
        <v>5</v>
      </c>
      <c r="D29" s="33">
        <v>5</v>
      </c>
      <c r="E29" s="33">
        <f>'[1]КПЭ допол'!G29</f>
        <v>0.94344384716171092</v>
      </c>
      <c r="F29" s="33">
        <f>F31/F37</f>
        <v>0.94390686694757464</v>
      </c>
      <c r="G29" s="33">
        <f>G31/G37</f>
        <v>0.94330120098086023</v>
      </c>
      <c r="H29" s="33">
        <f>H31/H37</f>
        <v>0.94584315932029805</v>
      </c>
      <c r="I29" s="33">
        <f>'[1]КПЭ допол'!K29</f>
        <v>0.87459215745026275</v>
      </c>
      <c r="J29" s="33"/>
      <c r="K29" s="33"/>
      <c r="L29" s="33"/>
      <c r="M29" s="50">
        <f>E29/I29*100</f>
        <v>107.87243392533665</v>
      </c>
      <c r="N29" s="50" t="e">
        <f>F29/J29*100</f>
        <v>#DIV/0!</v>
      </c>
      <c r="O29" s="50" t="e">
        <f>G31/K31*100</f>
        <v>#DIV/0!</v>
      </c>
      <c r="P29" s="50" t="e">
        <f>H29/L29*100</f>
        <v>#DIV/0!</v>
      </c>
      <c r="Q29" s="33">
        <f>C29*M29/100</f>
        <v>5.3936216962668322</v>
      </c>
      <c r="R29" s="51" t="e">
        <f>C29*N29/100</f>
        <v>#DIV/0!</v>
      </c>
      <c r="S29" s="51" t="e">
        <f>O29*C29/100</f>
        <v>#DIV/0!</v>
      </c>
      <c r="T29" s="51" t="e">
        <f>C29*P29/100</f>
        <v>#DIV/0!</v>
      </c>
      <c r="U29" s="47" t="s">
        <v>34</v>
      </c>
    </row>
    <row r="30" spans="1:21">
      <c r="A30" s="21"/>
      <c r="B30" s="32" t="s">
        <v>95</v>
      </c>
      <c r="C30" s="33"/>
      <c r="D30" s="33"/>
      <c r="E30" s="52"/>
      <c r="F30" s="48"/>
      <c r="G30" s="48"/>
      <c r="H30" s="48"/>
      <c r="I30" s="52"/>
      <c r="J30" s="33"/>
      <c r="K30" s="33"/>
      <c r="L30" s="33"/>
      <c r="M30" s="33"/>
      <c r="N30" s="33"/>
      <c r="O30" s="33"/>
      <c r="P30" s="33"/>
      <c r="Q30" s="33"/>
      <c r="R30" s="15"/>
      <c r="S30" s="15"/>
      <c r="T30" s="15"/>
      <c r="U30" s="47"/>
    </row>
    <row r="31" spans="1:21">
      <c r="A31" s="32"/>
      <c r="B31" s="32" t="s">
        <v>96</v>
      </c>
      <c r="C31" s="33"/>
      <c r="D31" s="33"/>
      <c r="E31" s="52">
        <f>'[1]КПЭ допол'!G31</f>
        <v>158135181</v>
      </c>
      <c r="F31" s="52">
        <f>F32+F33</f>
        <v>210436110</v>
      </c>
      <c r="G31" s="52">
        <f>G32+G33</f>
        <v>262108545</v>
      </c>
      <c r="H31" s="52">
        <f>H32+H33</f>
        <v>320825208</v>
      </c>
      <c r="I31" s="52">
        <f>'[1]КПЭ допол'!K31</f>
        <v>169662130</v>
      </c>
      <c r="J31" s="49"/>
      <c r="K31" s="49"/>
      <c r="L31" s="49"/>
      <c r="M31" s="48"/>
      <c r="N31" s="48"/>
      <c r="O31" s="48"/>
      <c r="P31" s="48"/>
      <c r="Q31" s="48"/>
      <c r="R31" s="32"/>
      <c r="S31" s="32"/>
      <c r="T31" s="32"/>
      <c r="U31" s="47"/>
    </row>
    <row r="32" spans="1:21">
      <c r="A32" s="32"/>
      <c r="B32" s="32" t="s">
        <v>97</v>
      </c>
      <c r="C32" s="33"/>
      <c r="D32" s="33"/>
      <c r="E32" s="52">
        <f>'[1]КПЭ допол'!G32</f>
        <v>149221791</v>
      </c>
      <c r="F32" s="54">
        <f>E32+49271028</f>
        <v>198492819</v>
      </c>
      <c r="G32" s="54">
        <f>F32+48882254</f>
        <v>247375073</v>
      </c>
      <c r="H32" s="54">
        <f>G32+54611076</f>
        <v>301986149</v>
      </c>
      <c r="I32" s="52">
        <f>'[1]КПЭ допол'!K32</f>
        <v>159981833</v>
      </c>
      <c r="J32" s="52"/>
      <c r="K32" s="52"/>
      <c r="L32" s="52"/>
      <c r="M32" s="48"/>
      <c r="N32" s="48"/>
      <c r="O32" s="48"/>
      <c r="P32" s="48"/>
      <c r="Q32" s="48"/>
      <c r="R32" s="32"/>
      <c r="S32" s="32"/>
      <c r="T32" s="32"/>
      <c r="U32" s="47"/>
    </row>
    <row r="33" spans="1:21">
      <c r="A33" s="32"/>
      <c r="B33" s="57" t="s">
        <v>98</v>
      </c>
      <c r="C33" s="33"/>
      <c r="D33" s="33"/>
      <c r="E33" s="52">
        <f>'[1]КПЭ допол'!G33</f>
        <v>8913390</v>
      </c>
      <c r="F33" s="52">
        <f>F34+F35+F36</f>
        <v>11943291</v>
      </c>
      <c r="G33" s="52">
        <f>G34+G35+G36</f>
        <v>14733472</v>
      </c>
      <c r="H33" s="52">
        <f>H34+H35+H36</f>
        <v>18839059</v>
      </c>
      <c r="I33" s="52">
        <f>'[1]КПЭ допол'!K33</f>
        <v>9680297</v>
      </c>
      <c r="J33" s="52"/>
      <c r="K33" s="52"/>
      <c r="L33" s="52"/>
      <c r="M33" s="48"/>
      <c r="N33" s="48"/>
      <c r="O33" s="48"/>
      <c r="P33" s="48"/>
      <c r="Q33" s="48"/>
      <c r="R33" s="32"/>
      <c r="S33" s="32"/>
      <c r="T33" s="32"/>
      <c r="U33" s="47"/>
    </row>
    <row r="34" spans="1:21">
      <c r="A34" s="32"/>
      <c r="B34" s="32" t="s">
        <v>99</v>
      </c>
      <c r="C34" s="33"/>
      <c r="D34" s="33"/>
      <c r="E34" s="52">
        <f>'[1]КПЭ допол'!G34</f>
        <v>433680</v>
      </c>
      <c r="F34" s="52">
        <f>E34+144560</f>
        <v>578240</v>
      </c>
      <c r="G34" s="52">
        <f>F34+144560</f>
        <v>722800</v>
      </c>
      <c r="H34" s="52">
        <f>G34+144559</f>
        <v>867359</v>
      </c>
      <c r="I34" s="52">
        <f>'[1]КПЭ допол'!K34</f>
        <v>888903</v>
      </c>
      <c r="J34" s="52"/>
      <c r="K34" s="52"/>
      <c r="L34" s="52"/>
      <c r="M34" s="48"/>
      <c r="N34" s="48"/>
      <c r="O34" s="48"/>
      <c r="P34" s="48"/>
      <c r="Q34" s="48"/>
      <c r="R34" s="32"/>
      <c r="S34" s="32"/>
      <c r="T34" s="32"/>
      <c r="U34" s="47"/>
    </row>
    <row r="35" spans="1:21">
      <c r="A35" s="32"/>
      <c r="B35" s="32" t="s">
        <v>100</v>
      </c>
      <c r="C35" s="33"/>
      <c r="D35" s="33"/>
      <c r="E35" s="52">
        <f>'[1]КПЭ допол'!G35</f>
        <v>3450966</v>
      </c>
      <c r="F35" s="52">
        <f>E35+1150322</f>
        <v>4601288</v>
      </c>
      <c r="G35" s="52">
        <f>F35+1150322</f>
        <v>5751610</v>
      </c>
      <c r="H35" s="52">
        <f>G35+1150324</f>
        <v>6901934</v>
      </c>
      <c r="I35" s="52">
        <f>'[1]КПЭ допол'!K35</f>
        <v>2648828</v>
      </c>
      <c r="J35" s="52"/>
      <c r="K35" s="52"/>
      <c r="L35" s="52"/>
      <c r="M35" s="33"/>
      <c r="N35" s="33"/>
      <c r="O35" s="33"/>
      <c r="P35" s="33"/>
      <c r="Q35" s="33"/>
      <c r="R35" s="15"/>
      <c r="S35" s="15"/>
      <c r="T35" s="15"/>
      <c r="U35" s="47"/>
    </row>
    <row r="36" spans="1:21">
      <c r="A36" s="32"/>
      <c r="B36" s="32" t="s">
        <v>101</v>
      </c>
      <c r="C36" s="33"/>
      <c r="D36" s="33"/>
      <c r="E36" s="52">
        <f>'[1]КПЭ допол'!G36</f>
        <v>5028744</v>
      </c>
      <c r="F36" s="52">
        <f>E36+1735019</f>
        <v>6763763</v>
      </c>
      <c r="G36" s="52">
        <f>F36+1495299</f>
        <v>8259062</v>
      </c>
      <c r="H36" s="52">
        <f>G36+2810704</f>
        <v>11069766</v>
      </c>
      <c r="I36" s="52">
        <f>'[1]КПЭ допол'!K36</f>
        <v>6142566</v>
      </c>
      <c r="J36" s="52"/>
      <c r="K36" s="52"/>
      <c r="L36" s="52"/>
      <c r="M36" s="48"/>
      <c r="N36" s="48"/>
      <c r="O36" s="48"/>
      <c r="P36" s="48"/>
      <c r="Q36" s="48"/>
      <c r="R36" s="32"/>
      <c r="S36" s="32"/>
      <c r="T36" s="32"/>
      <c r="U36" s="47"/>
    </row>
    <row r="37" spans="1:21">
      <c r="A37" s="32"/>
      <c r="B37" s="32" t="s">
        <v>102</v>
      </c>
      <c r="C37" s="33"/>
      <c r="D37" s="33"/>
      <c r="E37" s="52">
        <f>'[1]КПЭ допол'!G37</f>
        <v>167614831</v>
      </c>
      <c r="F37" s="52">
        <f>E37+55326772</f>
        <v>222941603</v>
      </c>
      <c r="G37" s="52">
        <f>F37+54921443</f>
        <v>277863046</v>
      </c>
      <c r="H37" s="52">
        <f>G37+61331888</f>
        <v>339194934</v>
      </c>
      <c r="I37" s="52">
        <f>'[1]КПЭ допол'!K37</f>
        <v>193989997</v>
      </c>
      <c r="J37" s="49"/>
      <c r="K37" s="49"/>
      <c r="L37" s="49"/>
      <c r="M37" s="48"/>
      <c r="N37" s="48"/>
      <c r="O37" s="48"/>
      <c r="P37" s="48"/>
      <c r="Q37" s="48"/>
      <c r="R37" s="32"/>
      <c r="S37" s="32"/>
      <c r="T37" s="32"/>
      <c r="U37" s="47"/>
    </row>
    <row r="38" spans="1:21" ht="25.5">
      <c r="A38" s="15" t="s">
        <v>32</v>
      </c>
      <c r="B38" s="30" t="s">
        <v>103</v>
      </c>
      <c r="C38" s="33"/>
      <c r="D38" s="33"/>
      <c r="E38" s="49"/>
      <c r="F38" s="48"/>
      <c r="G38" s="48"/>
      <c r="H38" s="48"/>
      <c r="I38" s="49"/>
      <c r="J38" s="48"/>
      <c r="K38" s="48"/>
      <c r="L38" s="48"/>
      <c r="M38" s="48"/>
      <c r="N38" s="48"/>
      <c r="O38" s="48"/>
      <c r="P38" s="48"/>
      <c r="Q38" s="48"/>
      <c r="R38" s="32"/>
      <c r="S38" s="32"/>
      <c r="T38" s="32"/>
      <c r="U38" s="47"/>
    </row>
    <row r="39" spans="1:21" ht="25.5">
      <c r="A39" s="32"/>
      <c r="B39" s="30" t="s">
        <v>104</v>
      </c>
      <c r="C39" s="33">
        <v>5</v>
      </c>
      <c r="D39" s="33">
        <v>5</v>
      </c>
      <c r="E39" s="50">
        <f>'[1]КПЭ допол'!G39</f>
        <v>64.403845555229395</v>
      </c>
      <c r="F39" s="50">
        <f>F40/F41*100</f>
        <v>77.081255335929683</v>
      </c>
      <c r="G39" s="50">
        <f>G40/G41*100</f>
        <v>106.5157896118746</v>
      </c>
      <c r="H39" s="50">
        <f>H40/H41*100</f>
        <v>135.41354444485344</v>
      </c>
      <c r="I39" s="50">
        <f>'[1]КПЭ допол'!K39</f>
        <v>70.135987185958029</v>
      </c>
      <c r="J39" s="50"/>
      <c r="K39" s="50"/>
      <c r="L39" s="50"/>
      <c r="M39" s="50">
        <f>I39/E39*100</f>
        <v>108.90030957206282</v>
      </c>
      <c r="N39" s="50">
        <f>J39/F39*100</f>
        <v>0</v>
      </c>
      <c r="O39" s="50">
        <f>K39/G39*100</f>
        <v>0</v>
      </c>
      <c r="P39" s="50">
        <f>L39/H39*100</f>
        <v>0</v>
      </c>
      <c r="Q39" s="33">
        <f>C39*M39/100</f>
        <v>5.4450154786031408</v>
      </c>
      <c r="R39" s="51">
        <f>C39*N39/100</f>
        <v>0</v>
      </c>
      <c r="S39" s="51">
        <f>O39*C39/100</f>
        <v>0</v>
      </c>
      <c r="T39" s="51">
        <f>C39*P39/100</f>
        <v>0</v>
      </c>
      <c r="U39" s="47" t="s">
        <v>40</v>
      </c>
    </row>
    <row r="40" spans="1:21">
      <c r="A40" s="32"/>
      <c r="B40" s="32" t="s">
        <v>105</v>
      </c>
      <c r="C40" s="33"/>
      <c r="D40" s="33"/>
      <c r="E40" s="52">
        <f>'[1]КПЭ допол'!G40</f>
        <v>17317494</v>
      </c>
      <c r="F40" s="52">
        <f>E40+5325694</f>
        <v>22643188</v>
      </c>
      <c r="G40" s="52">
        <f>F40+5997750</f>
        <v>28640938</v>
      </c>
      <c r="H40" s="52">
        <f>G40+5606706</f>
        <v>34247644</v>
      </c>
      <c r="I40" s="52">
        <f>'[1]КПЭ допол'!K40</f>
        <v>19957219</v>
      </c>
      <c r="J40" s="52"/>
      <c r="K40" s="49"/>
      <c r="L40" s="49"/>
      <c r="M40" s="58"/>
      <c r="N40" s="58"/>
      <c r="O40" s="58"/>
      <c r="P40" s="58"/>
      <c r="Q40" s="33"/>
      <c r="R40" s="59"/>
      <c r="S40" s="59"/>
      <c r="T40" s="59"/>
      <c r="U40" s="47"/>
    </row>
    <row r="41" spans="1:21" ht="25.5">
      <c r="A41" s="32"/>
      <c r="B41" s="60" t="s">
        <v>106</v>
      </c>
      <c r="C41" s="33"/>
      <c r="D41" s="33"/>
      <c r="E41" s="52">
        <f>'[1]КПЭ допол'!G41</f>
        <v>26888913</v>
      </c>
      <c r="F41" s="48">
        <f>'[2]Рент привлеч,акцион капит'!I6</f>
        <v>29375738.5</v>
      </c>
      <c r="G41" s="48">
        <f>'[2]Рент привлеч,акцион капит'!E25</f>
        <v>26888913</v>
      </c>
      <c r="H41" s="48">
        <f>'[2]Рент привлеч,акцион капит'!I25</f>
        <v>25291151</v>
      </c>
      <c r="I41" s="52">
        <f>'[1]КПЭ допол'!K41</f>
        <v>28455034</v>
      </c>
      <c r="J41" s="48"/>
      <c r="K41" s="48"/>
      <c r="L41" s="48"/>
      <c r="M41" s="48"/>
      <c r="N41" s="48"/>
      <c r="O41" s="48"/>
      <c r="P41" s="48"/>
      <c r="Q41" s="48"/>
      <c r="R41" s="32"/>
      <c r="S41" s="32"/>
      <c r="T41" s="32"/>
      <c r="U41" s="47"/>
    </row>
    <row r="42" spans="1:21" ht="25.5">
      <c r="A42" s="15" t="s">
        <v>37</v>
      </c>
      <c r="B42" s="34" t="s">
        <v>107</v>
      </c>
      <c r="C42" s="33"/>
      <c r="D42" s="33"/>
      <c r="E42" s="49"/>
      <c r="F42" s="48"/>
      <c r="G42" s="48"/>
      <c r="H42" s="48"/>
      <c r="I42" s="49"/>
      <c r="J42" s="48"/>
      <c r="K42" s="48"/>
      <c r="L42" s="48"/>
      <c r="M42" s="48"/>
      <c r="N42" s="48"/>
      <c r="O42" s="48"/>
      <c r="P42" s="48"/>
      <c r="Q42" s="48"/>
      <c r="R42" s="32"/>
      <c r="S42" s="32"/>
      <c r="T42" s="32"/>
      <c r="U42" s="47"/>
    </row>
    <row r="43" spans="1:21" ht="25.5">
      <c r="A43" s="32"/>
      <c r="B43" s="30" t="s">
        <v>108</v>
      </c>
      <c r="C43" s="33">
        <v>5</v>
      </c>
      <c r="D43" s="33">
        <v>5</v>
      </c>
      <c r="E43" s="33">
        <f>'[1]КПЭ допол'!G43</f>
        <v>33.453932378543833</v>
      </c>
      <c r="F43" s="33">
        <f>F44/F45*100</f>
        <v>43.602211372264662</v>
      </c>
      <c r="G43" s="33">
        <f>G44/G45*100</f>
        <v>55.328559843015753</v>
      </c>
      <c r="H43" s="33">
        <f>H44/H45*100</f>
        <v>59.320216474274211</v>
      </c>
      <c r="I43" s="33">
        <f>'[1]КПЭ допол'!K43</f>
        <v>36.43680247506434</v>
      </c>
      <c r="J43" s="50"/>
      <c r="K43" s="50"/>
      <c r="L43" s="50"/>
      <c r="M43" s="50">
        <f>I43/E43*100</f>
        <v>108.9163511863664</v>
      </c>
      <c r="N43" s="50">
        <f>J43/F43*100</f>
        <v>0</v>
      </c>
      <c r="O43" s="50">
        <f>K43/G43*100</f>
        <v>0</v>
      </c>
      <c r="P43" s="50">
        <f>L43/H43*100</f>
        <v>0</v>
      </c>
      <c r="Q43" s="33">
        <f>C43*M43/100</f>
        <v>5.4458175593183205</v>
      </c>
      <c r="R43" s="51">
        <f>C43*N43/100</f>
        <v>0</v>
      </c>
      <c r="S43" s="51">
        <f>O43*C43/100</f>
        <v>0</v>
      </c>
      <c r="T43" s="51">
        <f>C43*P43/100</f>
        <v>0</v>
      </c>
      <c r="U43" s="47" t="s">
        <v>40</v>
      </c>
    </row>
    <row r="44" spans="1:21">
      <c r="A44" s="32"/>
      <c r="B44" s="32" t="s">
        <v>105</v>
      </c>
      <c r="C44" s="33"/>
      <c r="D44" s="33"/>
      <c r="E44" s="52">
        <f>'[1]КПЭ допол'!G44</f>
        <v>17317494</v>
      </c>
      <c r="F44" s="52">
        <f>E44+5325694</f>
        <v>22643188</v>
      </c>
      <c r="G44" s="52">
        <f>F44+5997750</f>
        <v>28640938</v>
      </c>
      <c r="H44" s="52">
        <f>G44+5606706</f>
        <v>34247644</v>
      </c>
      <c r="I44" s="52">
        <f>'[1]КПЭ допол'!K44</f>
        <v>20004477</v>
      </c>
      <c r="J44" s="52"/>
      <c r="K44" s="49"/>
      <c r="L44" s="49"/>
      <c r="M44" s="48"/>
      <c r="N44" s="48"/>
      <c r="O44" s="48"/>
      <c r="P44" s="48"/>
      <c r="Q44" s="48"/>
      <c r="R44" s="32"/>
      <c r="S44" s="32"/>
      <c r="T44" s="32"/>
      <c r="U44" s="47"/>
    </row>
    <row r="45" spans="1:21">
      <c r="A45" s="32"/>
      <c r="B45" s="24" t="s">
        <v>109</v>
      </c>
      <c r="C45" s="33"/>
      <c r="D45" s="33"/>
      <c r="E45" s="52">
        <f>'[1]КПЭ допол'!G45</f>
        <v>51765197</v>
      </c>
      <c r="F45" s="48">
        <f>'[2]Рент привлеч,акцион капит'!J49</f>
        <v>51931283.5</v>
      </c>
      <c r="G45" s="48">
        <f>'[2]Рент привлеч,акцион капит'!E72</f>
        <v>51765197</v>
      </c>
      <c r="H45" s="48">
        <f>'[2]Рент привлеч,акцион капит'!J72</f>
        <v>57733511.5</v>
      </c>
      <c r="I45" s="52">
        <f>'[1]КПЭ допол'!K45</f>
        <v>54901845.5</v>
      </c>
      <c r="J45" s="48"/>
      <c r="K45" s="48"/>
      <c r="L45" s="48"/>
      <c r="M45" s="48"/>
      <c r="N45" s="48"/>
      <c r="O45" s="48"/>
      <c r="P45" s="48"/>
      <c r="Q45" s="48"/>
      <c r="R45" s="32"/>
      <c r="S45" s="32"/>
      <c r="T45" s="32"/>
      <c r="U45" s="47"/>
    </row>
    <row r="46" spans="1:21">
      <c r="A46" s="31" t="s">
        <v>45</v>
      </c>
      <c r="B46" s="34" t="s">
        <v>110</v>
      </c>
      <c r="C46" s="31"/>
      <c r="D46" s="33"/>
      <c r="E46" s="49"/>
      <c r="F46" s="48"/>
      <c r="G46" s="48"/>
      <c r="H46" s="48"/>
      <c r="I46" s="49"/>
      <c r="J46" s="61"/>
      <c r="K46" s="61"/>
      <c r="L46" s="61"/>
      <c r="M46" s="61"/>
      <c r="N46" s="61"/>
      <c r="O46" s="61"/>
      <c r="P46" s="61"/>
      <c r="Q46" s="62"/>
      <c r="R46" s="63"/>
      <c r="S46" s="63"/>
      <c r="T46" s="63"/>
      <c r="U46" s="47"/>
    </row>
    <row r="47" spans="1:21" ht="51">
      <c r="A47" s="32"/>
      <c r="B47" s="26" t="s">
        <v>111</v>
      </c>
      <c r="C47" s="33">
        <v>5</v>
      </c>
      <c r="D47" s="33">
        <v>5</v>
      </c>
      <c r="E47" s="33">
        <f>'[1]КПЭ допол'!G47</f>
        <v>1.7954107949934692</v>
      </c>
      <c r="F47" s="33">
        <f>F48/F49</f>
        <v>0.69739721393077903</v>
      </c>
      <c r="G47" s="33">
        <f>G48/G49</f>
        <v>1.7954107949934692</v>
      </c>
      <c r="H47" s="33">
        <f>H48/H49</f>
        <v>2.3972352944433037</v>
      </c>
      <c r="I47" s="33">
        <f>'[1]КПЭ допол'!K47</f>
        <v>0.28258711096984662</v>
      </c>
      <c r="J47" s="33"/>
      <c r="K47" s="33"/>
      <c r="L47" s="33"/>
      <c r="M47" s="50">
        <f>I47/E47*100</f>
        <v>15.739412493109942</v>
      </c>
      <c r="N47" s="50">
        <f>J47/F47*100</f>
        <v>0</v>
      </c>
      <c r="O47" s="50">
        <f>K47/G47*100</f>
        <v>0</v>
      </c>
      <c r="P47" s="50">
        <f>L47/H47*100</f>
        <v>0</v>
      </c>
      <c r="Q47" s="33">
        <f>C47*M47/100</f>
        <v>0.78697062465549705</v>
      </c>
      <c r="R47" s="51">
        <f>C47*N47/100</f>
        <v>0</v>
      </c>
      <c r="S47" s="51">
        <f>O47*C47/100</f>
        <v>0</v>
      </c>
      <c r="T47" s="51">
        <f>C47*P47/100</f>
        <v>0</v>
      </c>
      <c r="U47" s="47" t="s">
        <v>40</v>
      </c>
    </row>
    <row r="48" spans="1:21" ht="38.25">
      <c r="A48" s="32"/>
      <c r="B48" s="24" t="s">
        <v>112</v>
      </c>
      <c r="C48" s="33"/>
      <c r="D48" s="33"/>
      <c r="E48" s="52">
        <f>'[1]КПЭ допол'!G48</f>
        <v>10931838</v>
      </c>
      <c r="F48" s="48">
        <v>7087242</v>
      </c>
      <c r="G48" s="48">
        <v>10931838</v>
      </c>
      <c r="H48" s="48">
        <v>9093296</v>
      </c>
      <c r="I48" s="52">
        <f>'[1]КПЭ допол'!K48</f>
        <v>6389760</v>
      </c>
      <c r="J48" s="64"/>
      <c r="K48" s="65"/>
      <c r="L48" s="64"/>
      <c r="M48" s="61"/>
      <c r="N48" s="61"/>
      <c r="O48" s="61"/>
      <c r="P48" s="61"/>
      <c r="Q48" s="62"/>
      <c r="R48" s="63"/>
      <c r="S48" s="63"/>
      <c r="T48" s="63"/>
      <c r="U48" s="47"/>
    </row>
    <row r="49" spans="1:23" ht="25.5">
      <c r="A49" s="32"/>
      <c r="B49" s="24" t="s">
        <v>113</v>
      </c>
      <c r="C49" s="33"/>
      <c r="D49" s="33"/>
      <c r="E49" s="52">
        <f>'[1]КПЭ допол'!G49</f>
        <v>6088767</v>
      </c>
      <c r="F49" s="48">
        <v>10162418</v>
      </c>
      <c r="G49" s="48">
        <v>6088767</v>
      </c>
      <c r="H49" s="48">
        <v>3793243</v>
      </c>
      <c r="I49" s="52">
        <f>'[1]КПЭ допол'!K49</f>
        <v>22611647</v>
      </c>
      <c r="J49" s="64"/>
      <c r="K49" s="65"/>
      <c r="L49" s="64"/>
      <c r="M49" s="61"/>
      <c r="N49" s="61"/>
      <c r="O49" s="61"/>
      <c r="P49" s="61"/>
      <c r="Q49" s="62"/>
      <c r="R49" s="63"/>
      <c r="S49" s="63"/>
      <c r="T49" s="63"/>
      <c r="U49" s="47"/>
    </row>
    <row r="50" spans="1:23" ht="25.5">
      <c r="A50" s="66" t="s">
        <v>51</v>
      </c>
      <c r="B50" s="30" t="s">
        <v>114</v>
      </c>
      <c r="C50" s="33"/>
      <c r="D50" s="33"/>
      <c r="E50" s="49"/>
      <c r="F50" s="48"/>
      <c r="G50" s="48"/>
      <c r="H50" s="48"/>
      <c r="I50" s="49"/>
      <c r="J50" s="61"/>
      <c r="K50" s="61"/>
      <c r="L50" s="61"/>
      <c r="M50" s="61"/>
      <c r="N50" s="61"/>
      <c r="O50" s="61"/>
      <c r="P50" s="61"/>
      <c r="Q50" s="62"/>
      <c r="R50" s="63"/>
      <c r="S50" s="63"/>
      <c r="T50" s="63"/>
      <c r="U50" s="47"/>
    </row>
    <row r="51" spans="1:23">
      <c r="A51" s="32"/>
      <c r="B51" s="67" t="s">
        <v>115</v>
      </c>
      <c r="C51" s="33">
        <v>4.9999874999999996</v>
      </c>
      <c r="D51" s="33">
        <v>5</v>
      </c>
      <c r="E51" s="33">
        <f>'[1]КПЭ допол'!G51</f>
        <v>2.1812089229741249</v>
      </c>
      <c r="F51" s="33">
        <f>F53/(F52/F54)</f>
        <v>1.1577539455477943</v>
      </c>
      <c r="G51" s="33">
        <f>G53/(G52/G54)</f>
        <v>1.3157667788612668</v>
      </c>
      <c r="H51" s="33">
        <f>H53/(H52/H54)</f>
        <v>1.2282810066968748</v>
      </c>
      <c r="I51" s="33">
        <f>'[1]КПЭ допол'!K51</f>
        <v>4.3415247385152549</v>
      </c>
      <c r="J51" s="33"/>
      <c r="K51" s="33"/>
      <c r="L51" s="33"/>
      <c r="M51" s="50">
        <f>E51/I51*100</f>
        <v>50.240619467714239</v>
      </c>
      <c r="N51" s="50" t="e">
        <f>F51/J51*100</f>
        <v>#DIV/0!</v>
      </c>
      <c r="O51" s="50" t="e">
        <f>G51/K51*100</f>
        <v>#DIV/0!</v>
      </c>
      <c r="P51" s="33" t="e">
        <f>H51/L51*100</f>
        <v>#DIV/0!</v>
      </c>
      <c r="Q51" s="33">
        <f>C51*M51/100</f>
        <v>2.5120246933082782</v>
      </c>
      <c r="R51" s="51" t="e">
        <f>C51*N51/100</f>
        <v>#DIV/0!</v>
      </c>
      <c r="S51" s="51" t="e">
        <f>O51*C51/100</f>
        <v>#DIV/0!</v>
      </c>
      <c r="T51" s="51" t="e">
        <f>C51*P51/100</f>
        <v>#DIV/0!</v>
      </c>
      <c r="U51" s="47" t="s">
        <v>34</v>
      </c>
    </row>
    <row r="52" spans="1:23" ht="51">
      <c r="A52" s="32"/>
      <c r="B52" s="26" t="s">
        <v>116</v>
      </c>
      <c r="C52" s="33"/>
      <c r="D52" s="33"/>
      <c r="E52" s="52">
        <f>'[1]КПЭ допол'!G52</f>
        <v>167614831</v>
      </c>
      <c r="F52" s="52">
        <f>E52+55326772</f>
        <v>222941603</v>
      </c>
      <c r="G52" s="52">
        <f>F52+54921443</f>
        <v>277863046</v>
      </c>
      <c r="H52" s="52">
        <f>G52+61331888</f>
        <v>339194934</v>
      </c>
      <c r="I52" s="52">
        <f>'[1]КПЭ допол'!K52</f>
        <v>193989997</v>
      </c>
      <c r="J52" s="61"/>
      <c r="K52" s="52"/>
      <c r="L52" s="64"/>
      <c r="M52" s="61"/>
      <c r="N52" s="61"/>
      <c r="O52" s="61"/>
      <c r="P52" s="61"/>
      <c r="Q52" s="62"/>
      <c r="R52" s="63"/>
      <c r="S52" s="63"/>
      <c r="T52" s="63"/>
      <c r="U52" s="47"/>
    </row>
    <row r="53" spans="1:23" ht="25.5">
      <c r="A53" s="32"/>
      <c r="B53" s="24" t="s">
        <v>117</v>
      </c>
      <c r="C53" s="33"/>
      <c r="D53" s="33"/>
      <c r="E53" s="52">
        <f>'[1]КПЭ допол'!G53</f>
        <v>273</v>
      </c>
      <c r="F53" s="48">
        <v>181</v>
      </c>
      <c r="G53" s="48">
        <v>273</v>
      </c>
      <c r="H53" s="48">
        <v>365</v>
      </c>
      <c r="I53" s="52">
        <f>'[1]КПЭ допол'!K53</f>
        <v>273</v>
      </c>
      <c r="J53" s="61"/>
      <c r="K53" s="61"/>
      <c r="L53" s="61"/>
      <c r="M53" s="61"/>
      <c r="N53" s="61"/>
      <c r="O53" s="61"/>
      <c r="P53" s="61"/>
      <c r="Q53" s="62"/>
      <c r="R53" s="63"/>
      <c r="S53" s="63"/>
      <c r="T53" s="63"/>
      <c r="U53" s="47"/>
    </row>
    <row r="54" spans="1:23" ht="67.5" customHeight="1">
      <c r="A54" s="32"/>
      <c r="B54" s="24" t="s">
        <v>118</v>
      </c>
      <c r="C54" s="33"/>
      <c r="D54" s="33"/>
      <c r="E54" s="52">
        <f>'[1]КПЭ допол'!G54</f>
        <v>1339205</v>
      </c>
      <c r="F54" s="48">
        <f>(1391443+1460618)/2</f>
        <v>1426030.5</v>
      </c>
      <c r="G54" s="48">
        <f>(1391443+1286967)/2</f>
        <v>1339205</v>
      </c>
      <c r="H54" s="48">
        <f>(1391443+891443)/2</f>
        <v>1141443</v>
      </c>
      <c r="I54" s="52">
        <f>'[1]КПЭ допол'!K54</f>
        <v>3085027</v>
      </c>
      <c r="J54" s="61"/>
      <c r="K54" s="61"/>
      <c r="L54" s="68"/>
      <c r="M54" s="61"/>
      <c r="N54" s="61"/>
      <c r="O54" s="61"/>
      <c r="P54" s="61"/>
      <c r="Q54" s="62"/>
      <c r="R54" s="63"/>
      <c r="S54" s="63"/>
      <c r="T54" s="63"/>
      <c r="U54" s="47"/>
      <c r="W54" t="s">
        <v>119</v>
      </c>
    </row>
    <row r="55" spans="1:23" ht="25.5">
      <c r="A55" s="33" t="s">
        <v>56</v>
      </c>
      <c r="B55" s="30" t="s">
        <v>120</v>
      </c>
      <c r="C55" s="33"/>
      <c r="D55" s="33"/>
      <c r="E55" s="49"/>
      <c r="F55" s="48"/>
      <c r="G55" s="48"/>
      <c r="H55" s="48"/>
      <c r="I55" s="49"/>
      <c r="J55" s="61"/>
      <c r="K55" s="61"/>
      <c r="L55" s="61"/>
      <c r="M55" s="61"/>
      <c r="N55" s="61"/>
      <c r="O55" s="61"/>
      <c r="P55" s="61"/>
      <c r="Q55" s="62"/>
      <c r="R55" s="63"/>
      <c r="S55" s="63"/>
      <c r="T55" s="63"/>
      <c r="U55" s="47"/>
    </row>
    <row r="56" spans="1:23">
      <c r="A56" s="15"/>
      <c r="B56" s="24" t="s">
        <v>121</v>
      </c>
      <c r="C56" s="33">
        <v>5</v>
      </c>
      <c r="D56" s="33">
        <v>5</v>
      </c>
      <c r="E56" s="33">
        <f>'[1]КПЭ допол'!G56</f>
        <v>17.252801400372501</v>
      </c>
      <c r="F56" s="33">
        <f>F58/(F57/F59)</f>
        <v>9.5075050617627426</v>
      </c>
      <c r="G56" s="33">
        <f>G58/(G57/G59)</f>
        <v>10.407376700966561</v>
      </c>
      <c r="H56" s="33">
        <f>H58/(H57/H59)</f>
        <v>12.096082661423239</v>
      </c>
      <c r="I56" s="33">
        <f>'[1]КПЭ допол'!K56</f>
        <v>9.7319048259998677</v>
      </c>
      <c r="J56" s="50"/>
      <c r="K56" s="50"/>
      <c r="L56" s="50"/>
      <c r="M56" s="50">
        <f>E56/I56*100</f>
        <v>177.28082743143688</v>
      </c>
      <c r="N56" s="50" t="e">
        <f>F56/J56*100</f>
        <v>#DIV/0!</v>
      </c>
      <c r="O56" s="50" t="e">
        <f>G56/K56*100</f>
        <v>#DIV/0!</v>
      </c>
      <c r="P56" s="50" t="e">
        <f>H56/L56*100</f>
        <v>#DIV/0!</v>
      </c>
      <c r="Q56" s="33">
        <f>C56*M56/100</f>
        <v>8.8640413715718438</v>
      </c>
      <c r="R56" s="51" t="e">
        <f>C56*N56/100</f>
        <v>#DIV/0!</v>
      </c>
      <c r="S56" s="51" t="e">
        <f>O56*C56/100</f>
        <v>#DIV/0!</v>
      </c>
      <c r="T56" s="51" t="e">
        <f>C56*P56/100</f>
        <v>#DIV/0!</v>
      </c>
      <c r="U56" s="47" t="s">
        <v>122</v>
      </c>
    </row>
    <row r="57" spans="1:23" ht="51">
      <c r="A57" s="15"/>
      <c r="B57" s="24" t="s">
        <v>116</v>
      </c>
      <c r="C57" s="33"/>
      <c r="D57" s="33"/>
      <c r="E57" s="52">
        <f>'[1]КПЭ допол'!G57</f>
        <v>167614831</v>
      </c>
      <c r="F57" s="52">
        <f>E57+55326772</f>
        <v>222941603</v>
      </c>
      <c r="G57" s="52">
        <f>F57+54921443</f>
        <v>277863046</v>
      </c>
      <c r="H57" s="52">
        <f>G57+61331888</f>
        <v>339194934</v>
      </c>
      <c r="I57" s="52">
        <f>'[1]КПЭ допол'!K57</f>
        <v>193989997</v>
      </c>
      <c r="J57" s="64"/>
      <c r="K57" s="52"/>
      <c r="L57" s="64"/>
      <c r="M57" s="61"/>
      <c r="N57" s="61"/>
      <c r="O57" s="61"/>
      <c r="P57" s="61"/>
      <c r="Q57" s="62"/>
      <c r="R57" s="63"/>
      <c r="S57" s="63"/>
      <c r="T57" s="63"/>
      <c r="U57" s="47"/>
    </row>
    <row r="58" spans="1:23" ht="25.5">
      <c r="A58" s="15"/>
      <c r="B58" s="24" t="s">
        <v>117</v>
      </c>
      <c r="C58" s="33"/>
      <c r="D58" s="33"/>
      <c r="E58" s="52">
        <f>'[1]КПЭ допол'!G58</f>
        <v>273</v>
      </c>
      <c r="F58" s="48">
        <v>181</v>
      </c>
      <c r="G58" s="48">
        <v>273</v>
      </c>
      <c r="H58" s="48">
        <v>365</v>
      </c>
      <c r="I58" s="52">
        <f>'[1]КПЭ допол'!K58</f>
        <v>273</v>
      </c>
      <c r="J58" s="62"/>
      <c r="K58" s="62"/>
      <c r="L58" s="62"/>
      <c r="M58" s="61"/>
      <c r="N58" s="61"/>
      <c r="O58" s="61"/>
      <c r="P58" s="61"/>
      <c r="Q58" s="62"/>
      <c r="R58" s="63"/>
      <c r="S58" s="63"/>
      <c r="T58" s="63"/>
      <c r="U58" s="47"/>
    </row>
    <row r="59" spans="1:23" ht="76.5">
      <c r="A59" s="15"/>
      <c r="B59" s="26" t="s">
        <v>123</v>
      </c>
      <c r="C59" s="33"/>
      <c r="D59" s="33"/>
      <c r="E59" s="52">
        <f>'[1]КПЭ допол'!G59</f>
        <v>10592767</v>
      </c>
      <c r="F59" s="48">
        <f>(11091481+12329717)/2</f>
        <v>11710599</v>
      </c>
      <c r="G59" s="48">
        <f>(11091481+10094053)/2</f>
        <v>10592767</v>
      </c>
      <c r="H59" s="48">
        <f>(11091481+11390327)/2</f>
        <v>11240904</v>
      </c>
      <c r="I59" s="52">
        <f>'[1]КПЭ допол'!K59</f>
        <v>6915356</v>
      </c>
      <c r="J59" s="64"/>
      <c r="K59" s="64"/>
      <c r="L59" s="64"/>
      <c r="M59" s="61"/>
      <c r="N59" s="61"/>
      <c r="O59" s="61"/>
      <c r="P59" s="61"/>
      <c r="Q59" s="62"/>
      <c r="R59" s="63"/>
      <c r="S59" s="63"/>
      <c r="T59" s="63"/>
      <c r="U59" s="47"/>
      <c r="W59" t="s">
        <v>119</v>
      </c>
    </row>
    <row r="60" spans="1:23" ht="45.75" customHeight="1">
      <c r="A60" s="69" t="s">
        <v>58</v>
      </c>
      <c r="B60" s="28" t="s">
        <v>124</v>
      </c>
      <c r="C60" s="32"/>
      <c r="D60" s="23"/>
      <c r="E60" s="49"/>
      <c r="F60" s="33"/>
      <c r="G60" s="33"/>
      <c r="H60" s="33"/>
      <c r="I60" s="49"/>
      <c r="J60" s="64"/>
      <c r="K60" s="64"/>
      <c r="L60" s="64"/>
      <c r="M60" s="61"/>
      <c r="N60" s="61"/>
      <c r="O60" s="61"/>
      <c r="P60" s="61"/>
      <c r="Q60" s="62"/>
      <c r="R60" s="63"/>
      <c r="S60" s="63"/>
      <c r="T60" s="63"/>
      <c r="U60" s="47" t="s">
        <v>34</v>
      </c>
    </row>
    <row r="61" spans="1:23" ht="14.25">
      <c r="A61" s="70"/>
      <c r="B61" s="71" t="s">
        <v>125</v>
      </c>
      <c r="C61" s="21">
        <v>5</v>
      </c>
      <c r="D61" s="72">
        <v>5</v>
      </c>
      <c r="E61" s="33">
        <f>'[1]КПЭ допол'!G61</f>
        <v>0.60323539654232561</v>
      </c>
      <c r="F61" s="33">
        <f>F62/F63</f>
        <v>0.61897934613848027</v>
      </c>
      <c r="G61" s="33">
        <f>G62/G63</f>
        <v>0.60323539654232561</v>
      </c>
      <c r="H61" s="33">
        <f>H62/H63</f>
        <v>0.59219307756754658</v>
      </c>
      <c r="I61" s="33">
        <f>'[1]КПЭ допол'!K61</f>
        <v>0.55535335951695208</v>
      </c>
      <c r="J61" s="33"/>
      <c r="K61" s="33"/>
      <c r="L61" s="33"/>
      <c r="M61" s="50">
        <f>E61/I61*100</f>
        <v>108.6219046314983</v>
      </c>
      <c r="N61" s="50" t="e">
        <f>F61/J61*100</f>
        <v>#DIV/0!</v>
      </c>
      <c r="O61" s="50" t="e">
        <f>G61/K61*100</f>
        <v>#DIV/0!</v>
      </c>
      <c r="P61" s="50" t="e">
        <f>H61/L61*100</f>
        <v>#DIV/0!</v>
      </c>
      <c r="Q61" s="33">
        <f>C61*M61/100</f>
        <v>5.4310952315749148</v>
      </c>
      <c r="R61" s="51" t="e">
        <f>C61*N61/100</f>
        <v>#DIV/0!</v>
      </c>
      <c r="S61" s="51" t="e">
        <f>O61*C61/100</f>
        <v>#DIV/0!</v>
      </c>
      <c r="T61" s="51" t="e">
        <f>C61*P61/100</f>
        <v>#DIV/0!</v>
      </c>
      <c r="U61" s="47"/>
    </row>
    <row r="62" spans="1:23" ht="25.5">
      <c r="A62" s="70"/>
      <c r="B62" s="29" t="s">
        <v>126</v>
      </c>
      <c r="C62" s="21"/>
      <c r="D62" s="72"/>
      <c r="E62" s="52">
        <f>'[1]КПЭ допол'!G62</f>
        <v>30126787</v>
      </c>
      <c r="F62" s="48">
        <v>28978761</v>
      </c>
      <c r="G62" s="48">
        <v>30126787</v>
      </c>
      <c r="H62" s="48">
        <v>31236413</v>
      </c>
      <c r="I62" s="52">
        <f>'[1]КПЭ допол'!K62</f>
        <v>27991908</v>
      </c>
      <c r="J62" s="64"/>
      <c r="K62" s="64"/>
      <c r="L62" s="64"/>
      <c r="M62" s="61"/>
      <c r="N62" s="61"/>
      <c r="O62" s="61"/>
      <c r="P62" s="61"/>
      <c r="Q62" s="62"/>
      <c r="R62" s="63"/>
      <c r="S62" s="63"/>
      <c r="T62" s="63"/>
      <c r="U62" s="47"/>
    </row>
    <row r="63" spans="1:23" ht="44.25" customHeight="1">
      <c r="A63" s="70"/>
      <c r="B63" s="28" t="s">
        <v>127</v>
      </c>
      <c r="C63" s="21"/>
      <c r="D63" s="72"/>
      <c r="E63" s="52">
        <f>'[1]КПЭ допол'!G63</f>
        <v>49942008</v>
      </c>
      <c r="F63" s="48">
        <v>46817008</v>
      </c>
      <c r="G63" s="48">
        <v>49942008</v>
      </c>
      <c r="H63" s="48">
        <v>52747008</v>
      </c>
      <c r="I63" s="52">
        <f>'[1]КПЭ допол'!K63</f>
        <v>50403779</v>
      </c>
      <c r="J63" s="64"/>
      <c r="K63" s="64"/>
      <c r="L63" s="64"/>
      <c r="M63" s="61"/>
      <c r="N63" s="61"/>
      <c r="O63" s="61"/>
      <c r="P63" s="61"/>
      <c r="Q63" s="62"/>
      <c r="R63" s="63"/>
      <c r="S63" s="63"/>
      <c r="T63" s="63"/>
      <c r="U63" s="47"/>
    </row>
    <row r="64" spans="1:23">
      <c r="A64" s="69" t="s">
        <v>128</v>
      </c>
      <c r="B64" s="28" t="s">
        <v>129</v>
      </c>
      <c r="C64" s="21"/>
      <c r="D64" s="72"/>
      <c r="E64" s="49"/>
      <c r="F64" s="48"/>
      <c r="G64" s="48"/>
      <c r="H64" s="48"/>
      <c r="I64" s="49"/>
      <c r="J64" s="62"/>
      <c r="K64" s="62"/>
      <c r="L64" s="62"/>
      <c r="M64" s="61"/>
      <c r="N64" s="61"/>
      <c r="O64" s="61"/>
      <c r="P64" s="61"/>
      <c r="Q64" s="62"/>
      <c r="R64" s="63"/>
      <c r="S64" s="63"/>
      <c r="T64" s="63"/>
      <c r="U64" s="47"/>
    </row>
    <row r="65" spans="1:21" ht="14.25">
      <c r="A65" s="73"/>
      <c r="B65" s="74" t="s">
        <v>130</v>
      </c>
      <c r="C65" s="21">
        <v>10</v>
      </c>
      <c r="D65" s="72">
        <v>10</v>
      </c>
      <c r="E65" s="49">
        <f>'[1]КПЭ допол'!G65</f>
        <v>491539.09384164226</v>
      </c>
      <c r="F65" s="33">
        <f>F66/F67</f>
        <v>653787.69208211149</v>
      </c>
      <c r="G65" s="33">
        <f>G66/G67</f>
        <v>814847.64222873899</v>
      </c>
      <c r="H65" s="33">
        <f>H66/H67</f>
        <v>994706.55131964805</v>
      </c>
      <c r="I65" s="49">
        <f>'[1]КПЭ допол'!K65</f>
        <v>593241.58103975537</v>
      </c>
      <c r="J65" s="33"/>
      <c r="K65" s="33"/>
      <c r="L65" s="33"/>
      <c r="M65" s="50">
        <f>I65/E65*100</f>
        <v>120.69062023190334</v>
      </c>
      <c r="N65" s="50">
        <f>J65/F65*100</f>
        <v>0</v>
      </c>
      <c r="O65" s="50">
        <f>K65/G65*100</f>
        <v>0</v>
      </c>
      <c r="P65" s="50">
        <f>L65/H65*100</f>
        <v>0</v>
      </c>
      <c r="Q65" s="33">
        <f>C65*M65/100</f>
        <v>12.069062023190334</v>
      </c>
      <c r="R65" s="51">
        <f>C65*N65/100</f>
        <v>0</v>
      </c>
      <c r="S65" s="51">
        <f>O65*C65/100</f>
        <v>0</v>
      </c>
      <c r="T65" s="51">
        <f>C65*P65/100</f>
        <v>0</v>
      </c>
      <c r="U65" s="47" t="s">
        <v>24</v>
      </c>
    </row>
    <row r="66" spans="1:21" ht="51">
      <c r="A66" s="73"/>
      <c r="B66" s="29" t="s">
        <v>131</v>
      </c>
      <c r="C66" s="21"/>
      <c r="D66" s="72"/>
      <c r="E66" s="52">
        <f>'[1]КПЭ допол'!G66</f>
        <v>167614831</v>
      </c>
      <c r="F66" s="52">
        <f>E66+55326772</f>
        <v>222941603</v>
      </c>
      <c r="G66" s="52">
        <f>F66+54921443</f>
        <v>277863046</v>
      </c>
      <c r="H66" s="52">
        <f>G66+61331888</f>
        <v>339194934</v>
      </c>
      <c r="I66" s="52">
        <f>'[1]КПЭ допол'!K66</f>
        <v>193989997</v>
      </c>
      <c r="J66" s="75"/>
      <c r="K66" s="52"/>
      <c r="L66" s="64"/>
      <c r="M66" s="61"/>
      <c r="N66" s="61"/>
      <c r="O66" s="61"/>
      <c r="P66" s="61"/>
      <c r="Q66" s="62"/>
      <c r="R66" s="63"/>
      <c r="S66" s="63"/>
      <c r="T66" s="63"/>
      <c r="U66" s="47"/>
    </row>
    <row r="67" spans="1:21" ht="25.5">
      <c r="A67" s="73"/>
      <c r="B67" s="76" t="s">
        <v>132</v>
      </c>
      <c r="C67" s="21"/>
      <c r="D67" s="72"/>
      <c r="E67" s="52">
        <f>'[1]КПЭ допол'!G67</f>
        <v>341</v>
      </c>
      <c r="F67" s="48">
        <v>341</v>
      </c>
      <c r="G67" s="48">
        <v>341</v>
      </c>
      <c r="H67" s="48">
        <v>341</v>
      </c>
      <c r="I67" s="52">
        <f>'[1]КПЭ допол'!K67</f>
        <v>327</v>
      </c>
      <c r="J67" s="64"/>
      <c r="K67" s="64"/>
      <c r="L67" s="64"/>
      <c r="M67" s="61"/>
      <c r="N67" s="61"/>
      <c r="O67" s="61"/>
      <c r="P67" s="61"/>
      <c r="Q67" s="62"/>
      <c r="R67" s="63"/>
      <c r="S67" s="63"/>
      <c r="T67" s="63"/>
      <c r="U67" s="47"/>
    </row>
    <row r="68" spans="1:21" ht="25.5">
      <c r="A68" s="69" t="s">
        <v>133</v>
      </c>
      <c r="B68" s="28" t="s">
        <v>134</v>
      </c>
      <c r="C68" s="21"/>
      <c r="D68" s="72"/>
      <c r="E68" s="49"/>
      <c r="F68" s="33"/>
      <c r="G68" s="33"/>
      <c r="H68" s="33"/>
      <c r="I68" s="49"/>
      <c r="J68" s="62"/>
      <c r="K68" s="62"/>
      <c r="L68" s="62"/>
      <c r="M68" s="61"/>
      <c r="N68" s="61"/>
      <c r="O68" s="61"/>
      <c r="P68" s="61"/>
      <c r="Q68" s="62"/>
      <c r="R68" s="63"/>
      <c r="S68" s="63"/>
      <c r="T68" s="63"/>
      <c r="U68" s="47" t="s">
        <v>24</v>
      </c>
    </row>
    <row r="69" spans="1:21" ht="14.25">
      <c r="A69" s="69"/>
      <c r="B69" s="74" t="s">
        <v>135</v>
      </c>
      <c r="C69" s="21">
        <v>5</v>
      </c>
      <c r="D69" s="72">
        <v>5</v>
      </c>
      <c r="E69" s="33">
        <f>'[1]КПЭ допол'!G69</f>
        <v>0.61904936614131123</v>
      </c>
      <c r="F69" s="33">
        <f>F70/F71</f>
        <v>0.70316326486565639</v>
      </c>
      <c r="G69" s="33">
        <f>G70/G71</f>
        <v>0.79071537985874596</v>
      </c>
      <c r="H69" s="33">
        <f>H70/H71</f>
        <v>0.85879539826769091</v>
      </c>
      <c r="I69" s="33">
        <f>'[1]КПЭ допол'!K69</f>
        <v>0.32762716117600527</v>
      </c>
      <c r="J69" s="33"/>
      <c r="K69" s="33"/>
      <c r="L69" s="33"/>
      <c r="M69" s="50">
        <f>I69/E69*100</f>
        <v>52.924238210304118</v>
      </c>
      <c r="N69" s="50">
        <f>J69/F69*100</f>
        <v>0</v>
      </c>
      <c r="O69" s="50">
        <f>K69/G69*100</f>
        <v>0</v>
      </c>
      <c r="P69" s="50">
        <f>L69/H69*100</f>
        <v>0</v>
      </c>
      <c r="Q69" s="33">
        <f>C69*M69/100</f>
        <v>2.646211910515206</v>
      </c>
      <c r="R69" s="51">
        <f>C69*N69/100</f>
        <v>0</v>
      </c>
      <c r="S69" s="51">
        <f>C69*O69/100</f>
        <v>0</v>
      </c>
      <c r="T69" s="51">
        <f>C69*P69/100</f>
        <v>0</v>
      </c>
      <c r="U69" s="47"/>
    </row>
    <row r="70" spans="1:21" ht="72.75" customHeight="1">
      <c r="A70" s="70"/>
      <c r="B70" s="29" t="s">
        <v>136</v>
      </c>
      <c r="C70" s="21"/>
      <c r="D70" s="72"/>
      <c r="E70" s="52">
        <f>'[1]КПЭ допол'!G70</f>
        <v>12266600</v>
      </c>
      <c r="F70" s="48">
        <f>E70+276600</f>
        <v>12543200</v>
      </c>
      <c r="G70" s="48">
        <f>F70+3125000</f>
        <v>15668200</v>
      </c>
      <c r="H70" s="48">
        <f>G70+2805000</f>
        <v>18473200</v>
      </c>
      <c r="I70" s="52">
        <f>'[1]КПЭ допол'!K70</f>
        <v>7342738</v>
      </c>
      <c r="J70" s="64"/>
      <c r="K70" s="64"/>
      <c r="L70" s="64"/>
      <c r="M70" s="61"/>
      <c r="N70" s="61"/>
      <c r="O70" s="61"/>
      <c r="P70" s="61"/>
      <c r="Q70" s="62"/>
      <c r="R70" s="63"/>
      <c r="S70" s="63"/>
      <c r="T70" s="63"/>
      <c r="U70" s="47"/>
    </row>
    <row r="71" spans="1:21" ht="73.5" customHeight="1">
      <c r="A71" s="73"/>
      <c r="B71" s="28" t="s">
        <v>137</v>
      </c>
      <c r="C71" s="21"/>
      <c r="D71" s="72"/>
      <c r="E71" s="52">
        <f>'[1]КПЭ допол'!G71</f>
        <v>19815221</v>
      </c>
      <c r="F71" s="48">
        <v>17838247</v>
      </c>
      <c r="G71" s="48">
        <v>19815221</v>
      </c>
      <c r="H71" s="48">
        <v>21510595</v>
      </c>
      <c r="I71" s="52">
        <f>'[1]КПЭ допол'!K71</f>
        <v>22411872</v>
      </c>
      <c r="J71" s="64"/>
      <c r="K71" s="64"/>
      <c r="L71" s="64"/>
      <c r="M71" s="61"/>
      <c r="N71" s="61"/>
      <c r="O71" s="61"/>
      <c r="P71" s="61"/>
      <c r="Q71" s="62"/>
      <c r="R71" s="63"/>
      <c r="S71" s="63"/>
      <c r="T71" s="63"/>
      <c r="U71" s="47"/>
    </row>
    <row r="72" spans="1:21">
      <c r="A72" s="69" t="s">
        <v>138</v>
      </c>
      <c r="B72" s="28" t="s">
        <v>139</v>
      </c>
      <c r="C72" s="21"/>
      <c r="D72" s="72"/>
      <c r="E72" s="49"/>
      <c r="F72" s="48"/>
      <c r="G72" s="48"/>
      <c r="H72" s="48"/>
      <c r="I72" s="49"/>
      <c r="J72" s="62"/>
      <c r="K72" s="62"/>
      <c r="L72" s="62"/>
      <c r="M72" s="61"/>
      <c r="N72" s="61"/>
      <c r="O72" s="61"/>
      <c r="P72" s="61"/>
      <c r="Q72" s="62"/>
      <c r="R72" s="63"/>
      <c r="S72" s="63"/>
      <c r="T72" s="63"/>
      <c r="U72" s="47"/>
    </row>
    <row r="73" spans="1:21" ht="14.25">
      <c r="A73" s="73"/>
      <c r="B73" s="74" t="s">
        <v>140</v>
      </c>
      <c r="C73" s="21">
        <v>10</v>
      </c>
      <c r="D73" s="72">
        <v>10</v>
      </c>
      <c r="E73" s="50">
        <f>'[1]КПЭ допол'!G73</f>
        <v>10.760090158495712</v>
      </c>
      <c r="F73" s="50">
        <f>F74/F75</f>
        <v>15.28151872829396</v>
      </c>
      <c r="G73" s="50">
        <f>G74/G75</f>
        <v>17.837511208505418</v>
      </c>
      <c r="H73" s="50">
        <f>H74/H75</f>
        <v>20.650957742042184</v>
      </c>
      <c r="I73" s="50">
        <f>'[1]КПЭ допол'!K73</f>
        <v>9.8415271103788999</v>
      </c>
      <c r="J73" s="33"/>
      <c r="K73" s="33"/>
      <c r="L73" s="33"/>
      <c r="M73" s="50">
        <f>I73/E73*100</f>
        <v>91.463240227670823</v>
      </c>
      <c r="N73" s="50">
        <f>J73/F73*100</f>
        <v>0</v>
      </c>
      <c r="O73" s="50">
        <f>K73/G73*100</f>
        <v>0</v>
      </c>
      <c r="P73" s="50">
        <f>L73/H73*100</f>
        <v>0</v>
      </c>
      <c r="Q73" s="33">
        <f>D73*M73/100</f>
        <v>9.1463240227670823</v>
      </c>
      <c r="R73" s="51">
        <f>C73*N73/100</f>
        <v>0</v>
      </c>
      <c r="S73" s="51">
        <f>O73*C73/100</f>
        <v>0</v>
      </c>
      <c r="T73" s="51">
        <f>C73*P73/100</f>
        <v>0</v>
      </c>
      <c r="U73" s="47" t="s">
        <v>40</v>
      </c>
    </row>
    <row r="74" spans="1:21" ht="56.25" customHeight="1">
      <c r="A74" s="73"/>
      <c r="B74" s="29" t="s">
        <v>131</v>
      </c>
      <c r="C74" s="21"/>
      <c r="D74" s="72"/>
      <c r="E74" s="52">
        <f>'[1]КПЭ допол'!G74</f>
        <v>167614831</v>
      </c>
      <c r="F74" s="52">
        <f>E74+55326772</f>
        <v>222941603</v>
      </c>
      <c r="G74" s="52">
        <f>F74+54921443</f>
        <v>277863046</v>
      </c>
      <c r="H74" s="52">
        <f>G74+61331888</f>
        <v>339194934</v>
      </c>
      <c r="I74" s="52">
        <f>'[1]КПЭ допол'!K74</f>
        <v>193989997</v>
      </c>
      <c r="J74" s="65"/>
      <c r="K74" s="52"/>
      <c r="L74" s="65"/>
      <c r="M74" s="61"/>
      <c r="N74" s="61"/>
      <c r="O74" s="61"/>
      <c r="P74" s="61"/>
      <c r="Q74" s="62"/>
      <c r="R74" s="63"/>
      <c r="S74" s="63"/>
      <c r="T74" s="63"/>
      <c r="U74" s="47"/>
    </row>
    <row r="75" spans="1:21" ht="86.25" customHeight="1">
      <c r="A75" s="73"/>
      <c r="B75" s="29" t="s">
        <v>141</v>
      </c>
      <c r="C75" s="21"/>
      <c r="D75" s="72"/>
      <c r="E75" s="52">
        <f>'[1]КПЭ допол'!G75</f>
        <v>15577456</v>
      </c>
      <c r="F75" s="48">
        <f>(11339691+17838247)/2</f>
        <v>14588969</v>
      </c>
      <c r="G75" s="48">
        <f>(11339691+19815221)/2</f>
        <v>15577456</v>
      </c>
      <c r="H75" s="48">
        <f>(11339691+21510595)/2</f>
        <v>16425143</v>
      </c>
      <c r="I75" s="52">
        <f>'[1]КПЭ допол'!K75</f>
        <v>19711371.5</v>
      </c>
      <c r="J75" s="52"/>
      <c r="K75" s="52"/>
      <c r="L75" s="52"/>
      <c r="M75" s="61"/>
      <c r="N75" s="61"/>
      <c r="O75" s="61"/>
      <c r="P75" s="61"/>
      <c r="Q75" s="62"/>
      <c r="R75" s="63"/>
      <c r="S75" s="63"/>
      <c r="T75" s="63"/>
      <c r="U75" s="47"/>
    </row>
    <row r="76" spans="1:21" ht="25.5">
      <c r="A76" s="69" t="s">
        <v>142</v>
      </c>
      <c r="B76" s="28" t="s">
        <v>143</v>
      </c>
      <c r="C76" s="21"/>
      <c r="D76" s="72"/>
      <c r="E76" s="49"/>
      <c r="F76" s="48"/>
      <c r="G76" s="48"/>
      <c r="H76" s="48"/>
      <c r="I76" s="49"/>
      <c r="J76" s="62"/>
      <c r="K76" s="62"/>
      <c r="L76" s="62"/>
      <c r="M76" s="61"/>
      <c r="N76" s="61"/>
      <c r="O76" s="61"/>
      <c r="P76" s="61"/>
      <c r="Q76" s="62"/>
      <c r="R76" s="63"/>
      <c r="S76" s="63"/>
      <c r="T76" s="63"/>
      <c r="U76" s="47" t="s">
        <v>24</v>
      </c>
    </row>
    <row r="77" spans="1:21" ht="14.25">
      <c r="A77" s="73"/>
      <c r="B77" s="74" t="s">
        <v>144</v>
      </c>
      <c r="C77" s="21">
        <v>5</v>
      </c>
      <c r="D77" s="72">
        <v>5</v>
      </c>
      <c r="E77" s="33">
        <f>'[1]КПЭ допол'!G77</f>
        <v>71.172413793103445</v>
      </c>
      <c r="F77" s="33">
        <f>F78/377</f>
        <v>50.132625994694962</v>
      </c>
      <c r="G77" s="33">
        <f>G78/377</f>
        <v>71.172413793103445</v>
      </c>
      <c r="H77" s="33">
        <f>H78/377</f>
        <v>98.095490716180365</v>
      </c>
      <c r="I77" s="33">
        <f>'[1]КПЭ допол'!K77</f>
        <v>69.334641909814323</v>
      </c>
      <c r="J77" s="33"/>
      <c r="K77" s="33"/>
      <c r="L77" s="33"/>
      <c r="M77" s="50">
        <f>I77/E77*100</f>
        <v>97.417859272510441</v>
      </c>
      <c r="N77" s="50">
        <f>J77/F77*100</f>
        <v>0</v>
      </c>
      <c r="O77" s="50">
        <f>K77/G77*100</f>
        <v>0</v>
      </c>
      <c r="P77" s="50">
        <f>L77/H77*100</f>
        <v>0</v>
      </c>
      <c r="Q77" s="33">
        <f>D77*M77/100</f>
        <v>4.870892963625522</v>
      </c>
      <c r="R77" s="51">
        <f>C77*N77/100</f>
        <v>0</v>
      </c>
      <c r="S77" s="51">
        <f>O77*C77/100</f>
        <v>0</v>
      </c>
      <c r="T77" s="51">
        <f>C77*P77/100</f>
        <v>0</v>
      </c>
      <c r="U77" s="47"/>
    </row>
    <row r="78" spans="1:21">
      <c r="A78" s="73"/>
      <c r="B78" s="29" t="s">
        <v>145</v>
      </c>
      <c r="C78" s="21"/>
      <c r="D78" s="72"/>
      <c r="E78" s="52">
        <f>'[1]КПЭ допол'!G78</f>
        <v>26832</v>
      </c>
      <c r="F78" s="48">
        <v>18900</v>
      </c>
      <c r="G78" s="48">
        <f>F78+7932</f>
        <v>26832</v>
      </c>
      <c r="H78" s="48">
        <f>G78+10150</f>
        <v>36982</v>
      </c>
      <c r="I78" s="52">
        <f>'[1]КПЭ допол'!K78</f>
        <v>26139.16</v>
      </c>
      <c r="J78" s="62"/>
      <c r="K78" s="62"/>
      <c r="L78" s="62"/>
      <c r="M78" s="61"/>
      <c r="N78" s="61"/>
      <c r="O78" s="61"/>
      <c r="P78" s="61"/>
      <c r="Q78" s="62"/>
      <c r="R78" s="63"/>
      <c r="S78" s="63"/>
      <c r="T78" s="63"/>
      <c r="U78" s="47"/>
    </row>
    <row r="79" spans="1:21" ht="25.5">
      <c r="A79" s="73"/>
      <c r="B79" s="29" t="s">
        <v>146</v>
      </c>
      <c r="C79" s="21"/>
      <c r="D79" s="72"/>
      <c r="E79" s="52">
        <f>'[1]КПЭ допол'!G79</f>
        <v>341</v>
      </c>
      <c r="F79" s="48">
        <v>341</v>
      </c>
      <c r="G79" s="48">
        <v>341</v>
      </c>
      <c r="H79" s="48">
        <v>341</v>
      </c>
      <c r="I79" s="52">
        <f>'[1]КПЭ допол'!K79</f>
        <v>327</v>
      </c>
      <c r="J79" s="64"/>
      <c r="K79" s="64"/>
      <c r="L79" s="64"/>
      <c r="M79" s="61"/>
      <c r="N79" s="61"/>
      <c r="O79" s="61"/>
      <c r="P79" s="61"/>
      <c r="Q79" s="62"/>
      <c r="R79" s="63"/>
      <c r="S79" s="63"/>
      <c r="T79" s="63"/>
      <c r="U79" s="47"/>
    </row>
    <row r="80" spans="1:21">
      <c r="A80" s="69" t="s">
        <v>147</v>
      </c>
      <c r="B80" s="28" t="s">
        <v>148</v>
      </c>
      <c r="C80" s="21"/>
      <c r="D80" s="72"/>
      <c r="E80" s="49"/>
      <c r="F80" s="48"/>
      <c r="G80" s="48"/>
      <c r="H80" s="48"/>
      <c r="I80" s="49"/>
      <c r="J80" s="62"/>
      <c r="K80" s="62"/>
      <c r="L80" s="62"/>
      <c r="M80" s="61"/>
      <c r="N80" s="61"/>
      <c r="O80" s="61"/>
      <c r="P80" s="61"/>
      <c r="Q80" s="62"/>
      <c r="R80" s="63"/>
      <c r="S80" s="63"/>
      <c r="T80" s="63"/>
      <c r="U80" s="47"/>
    </row>
    <row r="81" spans="1:26" ht="14.25">
      <c r="A81" s="69"/>
      <c r="B81" s="74" t="s">
        <v>149</v>
      </c>
      <c r="C81" s="21">
        <v>5</v>
      </c>
      <c r="D81" s="72">
        <v>5</v>
      </c>
      <c r="E81" s="33">
        <f>'[1]КПЭ допол'!G81</f>
        <v>1.0088757396449703</v>
      </c>
      <c r="F81" s="33">
        <f>341/338</f>
        <v>1.0088757396449703</v>
      </c>
      <c r="G81" s="33">
        <f>341/338</f>
        <v>1.0088757396449703</v>
      </c>
      <c r="H81" s="33">
        <f>341/338</f>
        <v>1.0088757396449703</v>
      </c>
      <c r="I81" s="33">
        <f>'[1]КПЭ допол'!K81</f>
        <v>1.0275229357798166</v>
      </c>
      <c r="J81" s="33"/>
      <c r="K81" s="33"/>
      <c r="L81" s="33"/>
      <c r="M81" s="50">
        <f>E81/I81*100</f>
        <v>98.185228233305139</v>
      </c>
      <c r="N81" s="50" t="e">
        <f>F81/J81*100</f>
        <v>#DIV/0!</v>
      </c>
      <c r="O81" s="50" t="e">
        <f>G81/K81*100</f>
        <v>#DIV/0!</v>
      </c>
      <c r="P81" s="50" t="e">
        <f>H81/L81*100</f>
        <v>#DIV/0!</v>
      </c>
      <c r="Q81" s="33">
        <f>C81*M81/100</f>
        <v>4.9092614116652564</v>
      </c>
      <c r="R81" s="51" t="e">
        <f>C81*N81/100</f>
        <v>#DIV/0!</v>
      </c>
      <c r="S81" s="51" t="e">
        <f>O81*C81/100</f>
        <v>#DIV/0!</v>
      </c>
      <c r="T81" s="51" t="e">
        <f>C81*P81/100</f>
        <v>#DIV/0!</v>
      </c>
      <c r="U81" s="47" t="s">
        <v>34</v>
      </c>
    </row>
    <row r="82" spans="1:26" ht="33" customHeight="1">
      <c r="A82" s="69"/>
      <c r="B82" s="29" t="s">
        <v>150</v>
      </c>
      <c r="C82" s="32"/>
      <c r="D82" s="23"/>
      <c r="E82" s="52" t="str">
        <f>'[1]КПЭ допол'!G82</f>
        <v>343  /   338</v>
      </c>
      <c r="F82" s="48" t="s">
        <v>151</v>
      </c>
      <c r="G82" s="48" t="s">
        <v>152</v>
      </c>
      <c r="H82" s="48" t="s">
        <v>153</v>
      </c>
      <c r="I82" s="52" t="str">
        <f>'[1]КПЭ допол'!K82</f>
        <v>336 / 327</v>
      </c>
      <c r="J82" s="62"/>
      <c r="K82" s="62"/>
      <c r="L82" s="62"/>
      <c r="M82" s="61"/>
      <c r="N82" s="61"/>
      <c r="O82" s="61"/>
      <c r="P82" s="61"/>
      <c r="Q82" s="62"/>
      <c r="R82" s="63"/>
      <c r="S82" s="63"/>
      <c r="T82" s="63"/>
      <c r="U82" s="47"/>
    </row>
    <row r="83" spans="1:26" ht="38.25">
      <c r="A83" s="69" t="s">
        <v>154</v>
      </c>
      <c r="B83" s="28" t="s">
        <v>155</v>
      </c>
      <c r="C83" s="21"/>
      <c r="D83" s="72"/>
      <c r="E83" s="49"/>
      <c r="F83" s="48"/>
      <c r="G83" s="48"/>
      <c r="H83" s="48"/>
      <c r="I83" s="49"/>
      <c r="J83" s="62"/>
      <c r="K83" s="62"/>
      <c r="L83" s="62"/>
      <c r="M83" s="61"/>
      <c r="N83" s="61"/>
      <c r="O83" s="61"/>
      <c r="P83" s="61"/>
      <c r="Q83" s="62"/>
      <c r="R83" s="63"/>
      <c r="S83" s="63"/>
      <c r="T83" s="63"/>
      <c r="U83" s="47" t="s">
        <v>34</v>
      </c>
    </row>
    <row r="84" spans="1:26" ht="14.25">
      <c r="A84" s="73"/>
      <c r="B84" s="77" t="s">
        <v>156</v>
      </c>
      <c r="C84" s="21">
        <v>10</v>
      </c>
      <c r="D84" s="72">
        <v>10</v>
      </c>
      <c r="E84" s="33">
        <f>'[1]КПЭ допол'!G84</f>
        <v>6.5596364541690839</v>
      </c>
      <c r="F84" s="33">
        <f t="shared" ref="F84:H84" si="1">F85/F86*100</f>
        <v>6.5610428959649161</v>
      </c>
      <c r="G84" s="33">
        <f t="shared" si="1"/>
        <v>6.5493830091765153</v>
      </c>
      <c r="H84" s="33">
        <f t="shared" si="1"/>
        <v>6.556364609954346</v>
      </c>
      <c r="I84" s="33">
        <f>'[1]КПЭ допол'!K84</f>
        <v>5.9439600164356934</v>
      </c>
      <c r="J84" s="58"/>
      <c r="K84" s="58"/>
      <c r="L84" s="58"/>
      <c r="M84" s="50">
        <f>E84/I84*100</f>
        <v>110.35801782029115</v>
      </c>
      <c r="N84" s="50" t="e">
        <f>F84/J84*100</f>
        <v>#DIV/0!</v>
      </c>
      <c r="O84" s="50" t="e">
        <f>G84/K84*100</f>
        <v>#DIV/0!</v>
      </c>
      <c r="P84" s="50" t="e">
        <f>H84/L84*100</f>
        <v>#DIV/0!</v>
      </c>
      <c r="Q84" s="33">
        <f>C84*M84/100</f>
        <v>11.035801782029116</v>
      </c>
      <c r="R84" s="51" t="e">
        <f>C84*N84/100</f>
        <v>#DIV/0!</v>
      </c>
      <c r="S84" s="51" t="e">
        <f>O84*C84/100</f>
        <v>#DIV/0!</v>
      </c>
      <c r="T84" s="51" t="e">
        <f>C84*P84/100</f>
        <v>#DIV/0!</v>
      </c>
      <c r="U84" s="47"/>
    </row>
    <row r="85" spans="1:26" ht="54.75" customHeight="1">
      <c r="A85" s="73"/>
      <c r="B85" s="29" t="s">
        <v>157</v>
      </c>
      <c r="C85" s="21"/>
      <c r="D85" s="72"/>
      <c r="E85" s="49">
        <f>'[1]КПЭ допол'!G85</f>
        <v>9788407</v>
      </c>
      <c r="F85" s="52">
        <f>E85+3234792</f>
        <v>13023199</v>
      </c>
      <c r="G85" s="52">
        <f>F85+3178342</f>
        <v>16201541</v>
      </c>
      <c r="H85" s="52">
        <f>G85+3597772</f>
        <v>19799313</v>
      </c>
      <c r="I85" s="49">
        <f>'[1]КПЭ допол'!K85</f>
        <v>9579551.6536500007</v>
      </c>
      <c r="J85" s="64"/>
      <c r="K85" s="64"/>
      <c r="L85" s="64"/>
      <c r="M85" s="61"/>
      <c r="N85" s="61"/>
      <c r="O85" s="61"/>
      <c r="P85" s="61"/>
      <c r="Q85" s="61"/>
      <c r="R85" s="63"/>
      <c r="S85" s="63"/>
      <c r="T85" s="63"/>
      <c r="U85" s="47"/>
    </row>
    <row r="86" spans="1:26" ht="25.5">
      <c r="A86" s="73"/>
      <c r="B86" s="29" t="s">
        <v>158</v>
      </c>
      <c r="C86" s="21"/>
      <c r="D86" s="72"/>
      <c r="E86" s="49">
        <f>'[1]КПЭ допол'!G86</f>
        <v>149221791</v>
      </c>
      <c r="F86" s="54">
        <f>E86+49271028</f>
        <v>198492819</v>
      </c>
      <c r="G86" s="54">
        <f>F86+48882254</f>
        <v>247375073</v>
      </c>
      <c r="H86" s="54">
        <f>G86+54611076</f>
        <v>301986149</v>
      </c>
      <c r="I86" s="49">
        <f>'[1]КПЭ допол'!K86</f>
        <v>161164469.93522</v>
      </c>
      <c r="J86" s="64"/>
      <c r="K86" s="64"/>
      <c r="L86" s="64"/>
      <c r="M86" s="61"/>
      <c r="N86" s="61"/>
      <c r="O86" s="61"/>
      <c r="P86" s="61"/>
      <c r="Q86" s="61"/>
      <c r="R86" s="63"/>
      <c r="S86" s="63"/>
      <c r="T86" s="63"/>
      <c r="U86" s="47"/>
    </row>
    <row r="87" spans="1:26">
      <c r="A87" s="32"/>
      <c r="B87" s="24"/>
      <c r="C87" s="33">
        <f>SUM(C14:C86)</f>
        <v>99.999987500000003</v>
      </c>
      <c r="D87" s="33">
        <f>SUM(D14:D86)</f>
        <v>100</v>
      </c>
      <c r="E87" s="48"/>
      <c r="F87" s="48"/>
      <c r="G87" s="48"/>
      <c r="H87" s="48"/>
      <c r="I87" s="64"/>
      <c r="J87" s="64"/>
      <c r="K87" s="64"/>
      <c r="L87" s="64"/>
      <c r="M87" s="61"/>
      <c r="N87" s="61"/>
      <c r="O87" s="61"/>
      <c r="P87" s="61"/>
      <c r="Q87" s="61"/>
      <c r="R87" s="63"/>
      <c r="S87" s="63"/>
      <c r="T87" s="63"/>
      <c r="U87" s="47"/>
    </row>
    <row r="88" spans="1:26">
      <c r="A88" s="78"/>
      <c r="B88" s="30" t="s">
        <v>159</v>
      </c>
      <c r="C88" s="33"/>
      <c r="D88" s="33"/>
      <c r="E88" s="48"/>
      <c r="F88" s="48"/>
      <c r="G88" s="48"/>
      <c r="H88" s="48"/>
      <c r="I88" s="62"/>
      <c r="J88" s="62"/>
      <c r="K88" s="62"/>
      <c r="L88" s="62"/>
      <c r="M88" s="61"/>
      <c r="N88" s="61"/>
      <c r="O88" s="61"/>
      <c r="P88" s="61"/>
      <c r="Q88" s="79">
        <f>SUM(Q14:Q87)</f>
        <v>101.19434536195523</v>
      </c>
      <c r="R88" s="80" t="e">
        <f>SUM(R14:R87)</f>
        <v>#DIV/0!</v>
      </c>
      <c r="S88" s="80" t="e">
        <f>SUM(S14:S87)</f>
        <v>#DIV/0!</v>
      </c>
      <c r="T88" s="80" t="e">
        <f>SUM(T14:T87)</f>
        <v>#DIV/0!</v>
      </c>
      <c r="U88" s="47"/>
    </row>
    <row r="89" spans="1:26">
      <c r="A89" s="3"/>
      <c r="B89" s="3"/>
      <c r="C89" s="2"/>
      <c r="D89" s="2"/>
      <c r="E89" s="3"/>
      <c r="F89" s="3"/>
      <c r="G89" s="3"/>
      <c r="H89" s="3"/>
    </row>
    <row r="90" spans="1:26" ht="15">
      <c r="A90" s="3"/>
      <c r="B90" s="36"/>
      <c r="C90" s="37"/>
      <c r="D90" s="37"/>
      <c r="E90" s="81"/>
      <c r="F90" s="3"/>
      <c r="G90" s="3"/>
      <c r="H90" s="3"/>
    </row>
    <row r="91" spans="1:26" ht="15.75">
      <c r="A91" s="3"/>
      <c r="B91" s="105" t="s">
        <v>64</v>
      </c>
      <c r="C91" s="105"/>
      <c r="D91" s="39"/>
      <c r="E91" s="1" t="s">
        <v>65</v>
      </c>
      <c r="F91" s="4"/>
      <c r="G91" s="3"/>
      <c r="H91" s="3"/>
    </row>
    <row r="92" spans="1:26" ht="15.75">
      <c r="A92" s="3"/>
      <c r="B92" s="1"/>
      <c r="C92" s="41"/>
      <c r="D92" s="41"/>
      <c r="E92" s="4"/>
      <c r="F92" s="4"/>
      <c r="G92" s="3"/>
      <c r="H92" s="3"/>
    </row>
    <row r="93" spans="1:26" ht="15.75">
      <c r="A93" s="3"/>
      <c r="B93" s="1" t="s">
        <v>66</v>
      </c>
      <c r="C93" s="41"/>
      <c r="D93" s="41"/>
      <c r="E93" s="1" t="s">
        <v>67</v>
      </c>
      <c r="F93" s="1"/>
      <c r="G93" s="3"/>
      <c r="H93" s="3"/>
    </row>
    <row r="95" spans="1:26">
      <c r="W95" t="s">
        <v>68</v>
      </c>
      <c r="X95" t="s">
        <v>173</v>
      </c>
      <c r="Y95" t="s">
        <v>174</v>
      </c>
      <c r="Z95" t="s">
        <v>175</v>
      </c>
    </row>
    <row r="96" spans="1:26">
      <c r="I96" s="43"/>
      <c r="J96" s="43"/>
      <c r="M96" s="43"/>
      <c r="V96" t="s">
        <v>160</v>
      </c>
      <c r="W96" s="43">
        <v>9569744</v>
      </c>
      <c r="X96" s="95">
        <v>9569744</v>
      </c>
      <c r="Y96" s="95">
        <v>9569744</v>
      </c>
      <c r="Z96" s="96">
        <v>9569744</v>
      </c>
    </row>
    <row r="97" spans="8:26">
      <c r="H97" s="82"/>
      <c r="I97" s="82"/>
      <c r="V97" t="s">
        <v>70</v>
      </c>
      <c r="W97" s="43">
        <v>12952211</v>
      </c>
      <c r="X97" s="95">
        <v>8385674</v>
      </c>
      <c r="Y97" s="95">
        <v>3935889</v>
      </c>
      <c r="Z97" s="96">
        <v>24818369</v>
      </c>
    </row>
    <row r="98" spans="8:26">
      <c r="H98" s="43"/>
      <c r="V98" s="82" t="s">
        <v>161</v>
      </c>
      <c r="W98" s="97"/>
      <c r="X98" s="95"/>
      <c r="Y98" s="95"/>
      <c r="Z98" s="96"/>
    </row>
    <row r="99" spans="8:26">
      <c r="V99" s="43">
        <f>((W96+W97)+(X96+X97))/2</f>
        <v>20238686.5</v>
      </c>
      <c r="W99" s="95"/>
      <c r="X99" s="95"/>
      <c r="Y99" s="43">
        <f>((W96+W97)+(Y96+Y97))/2</f>
        <v>18013794</v>
      </c>
      <c r="Z99" s="98">
        <f>((W96+W97)+(Z96+Z97))/2</f>
        <v>28455034</v>
      </c>
    </row>
    <row r="100" spans="8:26">
      <c r="W100" s="95"/>
      <c r="X100" s="95"/>
      <c r="Y100" s="95"/>
    </row>
    <row r="101" spans="8:26">
      <c r="I101" s="43"/>
      <c r="J101" s="43"/>
      <c r="M101" s="43"/>
      <c r="V101" t="s">
        <v>69</v>
      </c>
      <c r="W101" s="43">
        <v>67232100</v>
      </c>
      <c r="X101" s="95">
        <v>66960772</v>
      </c>
      <c r="Y101" s="95">
        <v>67788669</v>
      </c>
      <c r="Z101" s="99">
        <v>80342171</v>
      </c>
    </row>
    <row r="102" spans="8:26">
      <c r="H102" s="82"/>
      <c r="I102" s="82"/>
      <c r="V102" t="s">
        <v>70</v>
      </c>
      <c r="W102" s="43">
        <v>12952211</v>
      </c>
      <c r="X102" s="95">
        <v>8385674</v>
      </c>
      <c r="Y102" s="95">
        <v>3935889</v>
      </c>
      <c r="Z102" s="99">
        <v>24818369</v>
      </c>
    </row>
    <row r="103" spans="8:26">
      <c r="H103" s="43">
        <f>((I100+I101)+(J100+J101))/2</f>
        <v>0</v>
      </c>
      <c r="V103" s="82" t="s">
        <v>162</v>
      </c>
      <c r="W103" s="82"/>
    </row>
    <row r="104" spans="8:26">
      <c r="V104" s="43">
        <f>((W101-W102)+(X101-X102))/2</f>
        <v>56427493.5</v>
      </c>
      <c r="Y104" s="43">
        <f>W101-W102</f>
        <v>54279889</v>
      </c>
      <c r="Z104" s="43">
        <f>Y104</f>
        <v>54279889</v>
      </c>
    </row>
    <row r="105" spans="8:26">
      <c r="Y105" s="43">
        <f>Y101-Y102</f>
        <v>63852780</v>
      </c>
      <c r="Z105">
        <f>Z101-Z102</f>
        <v>55523802</v>
      </c>
    </row>
    <row r="106" spans="8:26">
      <c r="Y106" s="43">
        <f>SUM(Y104:Y105)</f>
        <v>118132669</v>
      </c>
      <c r="Z106" s="43">
        <f>SUM(Z104:Z105)</f>
        <v>109803691</v>
      </c>
    </row>
    <row r="107" spans="8:26">
      <c r="Y107" s="83">
        <f>Y106/2</f>
        <v>59066334.5</v>
      </c>
      <c r="Z107" s="83">
        <f>Z106/2</f>
        <v>54901845.5</v>
      </c>
    </row>
    <row r="108" spans="8:26">
      <c r="X108" s="83">
        <f>X107/2</f>
        <v>0</v>
      </c>
    </row>
  </sheetData>
  <mergeCells count="22">
    <mergeCell ref="B91:C91"/>
    <mergeCell ref="A6:H6"/>
    <mergeCell ref="A7:Q7"/>
    <mergeCell ref="A8:Q8"/>
    <mergeCell ref="A10:A12"/>
    <mergeCell ref="B10:B12"/>
    <mergeCell ref="C10:C12"/>
    <mergeCell ref="D10:D12"/>
    <mergeCell ref="E10:T10"/>
    <mergeCell ref="E11:E12"/>
    <mergeCell ref="F11:F12"/>
    <mergeCell ref="G11:G12"/>
    <mergeCell ref="H11:H12"/>
    <mergeCell ref="I11:I12"/>
    <mergeCell ref="M11:P12"/>
    <mergeCell ref="Q11:T12"/>
    <mergeCell ref="F1:H1"/>
    <mergeCell ref="I1:Q1"/>
    <mergeCell ref="F2:H2"/>
    <mergeCell ref="I2:U2"/>
    <mergeCell ref="F3:H3"/>
    <mergeCell ref="I3:U3"/>
  </mergeCells>
  <pageMargins left="0.70866141732283472" right="0.19685039370078741" top="0.74803149606299213" bottom="0.35433070866141736" header="0.31496062992125984" footer="0.23622047244094491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64"/>
  <sheetViews>
    <sheetView topLeftCell="A29" workbookViewId="0">
      <selection activeCell="J59" sqref="J59"/>
    </sheetView>
  </sheetViews>
  <sheetFormatPr defaultRowHeight="12.75"/>
  <cols>
    <col min="1" max="1" width="5.140625" customWidth="1"/>
    <col min="2" max="2" width="33" customWidth="1"/>
    <col min="3" max="3" width="12.85546875" customWidth="1"/>
    <col min="4" max="4" width="15.7109375" customWidth="1"/>
    <col min="5" max="5" width="14.42578125" customWidth="1"/>
    <col min="6" max="6" width="11.85546875" customWidth="1"/>
  </cols>
  <sheetData>
    <row r="1" spans="1:19" ht="15.75">
      <c r="A1" s="1" t="s">
        <v>0</v>
      </c>
      <c r="B1" s="1"/>
      <c r="C1" s="2"/>
      <c r="D1" s="3"/>
      <c r="E1" s="103" t="s">
        <v>1</v>
      </c>
      <c r="F1" s="103"/>
      <c r="G1" s="103"/>
    </row>
    <row r="2" spans="1:19" ht="15.75">
      <c r="A2" s="4" t="s">
        <v>2</v>
      </c>
      <c r="B2" s="4"/>
      <c r="C2" s="2"/>
      <c r="D2" s="3"/>
      <c r="E2" s="104" t="s">
        <v>3</v>
      </c>
      <c r="F2" s="104"/>
      <c r="G2" s="104"/>
    </row>
    <row r="3" spans="1:19" ht="15.75">
      <c r="A3" s="4" t="s">
        <v>4</v>
      </c>
      <c r="B3" s="4"/>
      <c r="C3" s="2"/>
      <c r="D3" s="3"/>
      <c r="E3" s="104" t="s">
        <v>5</v>
      </c>
      <c r="F3" s="104"/>
      <c r="G3" s="104"/>
    </row>
    <row r="4" spans="1:19" ht="23.25" customHeight="1">
      <c r="A4" s="4"/>
      <c r="B4" s="4"/>
      <c r="C4" s="2"/>
      <c r="D4" s="3"/>
      <c r="E4" s="5" t="s">
        <v>6</v>
      </c>
      <c r="F4" s="5"/>
      <c r="G4" s="5"/>
    </row>
    <row r="5" spans="1:19" ht="15.75">
      <c r="A5" s="4"/>
      <c r="B5" s="4"/>
      <c r="C5" s="2"/>
      <c r="D5" s="3"/>
      <c r="E5" s="5" t="s">
        <v>7</v>
      </c>
      <c r="F5" s="5"/>
      <c r="G5" s="5"/>
    </row>
    <row r="6" spans="1:19" ht="15">
      <c r="A6" s="106"/>
      <c r="B6" s="106"/>
      <c r="C6" s="106"/>
      <c r="D6" s="106"/>
    </row>
    <row r="7" spans="1:19" ht="14.25">
      <c r="A7" s="107" t="s">
        <v>8</v>
      </c>
      <c r="B7" s="107"/>
      <c r="C7" s="107"/>
      <c r="D7" s="107"/>
      <c r="E7" s="107"/>
      <c r="F7" s="107"/>
      <c r="G7" s="107"/>
    </row>
    <row r="8" spans="1:19" ht="14.25">
      <c r="A8" s="108" t="s">
        <v>9</v>
      </c>
      <c r="B8" s="108"/>
      <c r="C8" s="108"/>
      <c r="D8" s="108"/>
      <c r="E8" s="108"/>
      <c r="F8" s="108"/>
      <c r="G8" s="108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14.25">
      <c r="A9" s="7"/>
      <c r="B9" s="7"/>
      <c r="C9" s="8"/>
      <c r="D9" s="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ht="12.75" customHeight="1">
      <c r="A10" s="109" t="s">
        <v>10</v>
      </c>
      <c r="B10" s="109" t="s">
        <v>11</v>
      </c>
      <c r="C10" s="112" t="s">
        <v>12</v>
      </c>
      <c r="D10" s="113" t="s">
        <v>13</v>
      </c>
      <c r="E10" s="113"/>
      <c r="F10" s="113"/>
      <c r="G10" s="113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>
      <c r="A11" s="109"/>
      <c r="B11" s="109"/>
      <c r="C11" s="112"/>
      <c r="D11" s="109" t="s">
        <v>14</v>
      </c>
      <c r="E11" s="109" t="s">
        <v>15</v>
      </c>
      <c r="F11" s="112" t="s">
        <v>16</v>
      </c>
      <c r="G11" s="112" t="s">
        <v>17</v>
      </c>
      <c r="H11" s="114"/>
      <c r="I11" s="10"/>
      <c r="J11" s="10"/>
      <c r="K11" s="10"/>
      <c r="L11" s="115"/>
      <c r="M11" s="115"/>
      <c r="N11" s="115"/>
      <c r="O11" s="115"/>
      <c r="P11" s="115"/>
      <c r="Q11" s="115"/>
      <c r="R11" s="115"/>
      <c r="S11" s="115"/>
    </row>
    <row r="12" spans="1:19">
      <c r="A12" s="109"/>
      <c r="B12" s="109"/>
      <c r="C12" s="112"/>
      <c r="D12" s="109"/>
      <c r="E12" s="109"/>
      <c r="F12" s="112"/>
      <c r="G12" s="112"/>
      <c r="H12" s="114"/>
      <c r="I12" s="11"/>
      <c r="J12" s="11"/>
      <c r="K12" s="12"/>
      <c r="L12" s="115"/>
      <c r="M12" s="115"/>
      <c r="N12" s="115"/>
      <c r="O12" s="115"/>
      <c r="P12" s="115"/>
      <c r="Q12" s="115"/>
      <c r="R12" s="115"/>
      <c r="S12" s="115"/>
    </row>
    <row r="13" spans="1:19">
      <c r="A13" s="13"/>
      <c r="B13" s="13"/>
      <c r="C13" s="14" t="s">
        <v>18</v>
      </c>
      <c r="D13" s="15" t="s">
        <v>19</v>
      </c>
      <c r="E13" s="15" t="s">
        <v>20</v>
      </c>
      <c r="F13" s="16" t="s">
        <v>21</v>
      </c>
      <c r="G13" s="16"/>
      <c r="H13" s="6"/>
    </row>
    <row r="14" spans="1:19" ht="25.5">
      <c r="A14" s="15" t="s">
        <v>22</v>
      </c>
      <c r="B14" s="17" t="s">
        <v>23</v>
      </c>
      <c r="C14" s="18">
        <f>'[1]КПЭ основ'!C14</f>
        <v>20</v>
      </c>
      <c r="D14" s="19">
        <f>'[1]КПЭ основ'!G14</f>
        <v>167614831</v>
      </c>
      <c r="E14" s="19">
        <f>'[1]КПЭ основ'!K14</f>
        <v>193989997</v>
      </c>
      <c r="F14" s="20">
        <f>E14/D14*100</f>
        <v>115.73558010508032</v>
      </c>
      <c r="G14" s="18">
        <f>F14*C14/100</f>
        <v>23.147116021016064</v>
      </c>
      <c r="H14" s="6" t="s">
        <v>24</v>
      </c>
    </row>
    <row r="15" spans="1:19">
      <c r="A15" s="15" t="s">
        <v>25</v>
      </c>
      <c r="B15" s="17" t="s">
        <v>26</v>
      </c>
      <c r="C15" s="18">
        <f>'[1]КПЭ основ'!C15</f>
        <v>20</v>
      </c>
      <c r="D15" s="19">
        <f>'[1]КПЭ основ'!G15</f>
        <v>17317494</v>
      </c>
      <c r="E15" s="19">
        <f>'[1]КПЭ основ'!K15</f>
        <v>19957219</v>
      </c>
      <c r="F15" s="20">
        <f>E15/D15*100</f>
        <v>115.24311196527628</v>
      </c>
      <c r="G15" s="18">
        <f>F15*C15/100</f>
        <v>23.048622393055258</v>
      </c>
      <c r="H15" s="6" t="s">
        <v>24</v>
      </c>
    </row>
    <row r="16" spans="1:19">
      <c r="A16" s="15" t="s">
        <v>27</v>
      </c>
      <c r="B16" s="21" t="s">
        <v>28</v>
      </c>
      <c r="C16" s="18"/>
      <c r="D16" s="18"/>
      <c r="E16" s="18"/>
      <c r="F16" s="22"/>
      <c r="G16" s="18"/>
    </row>
    <row r="17" spans="1:8">
      <c r="A17" s="15"/>
      <c r="B17" s="23" t="s">
        <v>29</v>
      </c>
      <c r="C17" s="18">
        <f>'[1]КПЭ основ'!C17</f>
        <v>5</v>
      </c>
      <c r="D17" s="18">
        <f>'[1]КПЭ основ'!G17</f>
        <v>0.29434261127328004</v>
      </c>
      <c r="E17" s="18">
        <f>'[1]КПЭ основ'!K17</f>
        <v>0.32025818375887488</v>
      </c>
      <c r="F17" s="20">
        <f>E17/D17*100</f>
        <v>108.80456022778631</v>
      </c>
      <c r="G17" s="18">
        <f>F17*C17/100</f>
        <v>5.4402280113893156</v>
      </c>
      <c r="H17" s="6" t="s">
        <v>24</v>
      </c>
    </row>
    <row r="18" spans="1:8" ht="59.25" customHeight="1">
      <c r="A18" s="15"/>
      <c r="B18" s="24" t="s">
        <v>30</v>
      </c>
      <c r="C18" s="18"/>
      <c r="D18" s="25">
        <f>'[1]КПЭ основ'!G18</f>
        <v>19857664</v>
      </c>
      <c r="E18" s="25">
        <f>'[1]КПЭ основ'!K18</f>
        <v>23630934</v>
      </c>
      <c r="F18" s="22"/>
      <c r="G18" s="22"/>
      <c r="H18" s="6"/>
    </row>
    <row r="19" spans="1:8" ht="133.5" customHeight="1">
      <c r="A19" s="15"/>
      <c r="B19" s="26" t="s">
        <v>31</v>
      </c>
      <c r="C19" s="18"/>
      <c r="D19" s="25">
        <f>'[1]КПЭ основ'!G19</f>
        <v>67464455.5</v>
      </c>
      <c r="E19" s="25">
        <f>'[1]КПЭ основ'!K19</f>
        <v>73787135.5</v>
      </c>
      <c r="F19" s="22"/>
      <c r="G19" s="22"/>
      <c r="H19" s="6"/>
    </row>
    <row r="20" spans="1:8" ht="38.25">
      <c r="A20" s="15" t="s">
        <v>32</v>
      </c>
      <c r="B20" s="17" t="s">
        <v>33</v>
      </c>
      <c r="C20" s="18">
        <f>'[1]КПЭ основ'!C20</f>
        <v>10</v>
      </c>
      <c r="D20" s="18">
        <f>'[1]КПЭ основ'!G20</f>
        <v>0.89026603499066259</v>
      </c>
      <c r="E20" s="18">
        <f>'[1]КПЭ основ'!K20</f>
        <v>0.82469114631719898</v>
      </c>
      <c r="F20" s="18">
        <f>D20/E20*100</f>
        <v>107.95144812288815</v>
      </c>
      <c r="G20" s="18">
        <f>F20*C20/100</f>
        <v>10.795144812288816</v>
      </c>
      <c r="H20" s="6" t="s">
        <v>34</v>
      </c>
    </row>
    <row r="21" spans="1:8" ht="30" customHeight="1">
      <c r="A21" s="15"/>
      <c r="B21" s="17" t="s">
        <v>35</v>
      </c>
      <c r="C21" s="18"/>
      <c r="D21" s="25">
        <f>'[1]КПЭ основ'!G21</f>
        <v>149221791</v>
      </c>
      <c r="E21" s="25">
        <f>'[1]КПЭ основ'!K21</f>
        <v>159981833</v>
      </c>
      <c r="F21" s="27"/>
      <c r="G21" s="22"/>
      <c r="H21" s="6"/>
    </row>
    <row r="22" spans="1:8" ht="33.75" customHeight="1">
      <c r="A22" s="15"/>
      <c r="B22" s="17" t="s">
        <v>36</v>
      </c>
      <c r="C22" s="18"/>
      <c r="D22" s="25">
        <f>'[1]КПЭ основ'!G22</f>
        <v>167614831</v>
      </c>
      <c r="E22" s="25">
        <f>'[1]КПЭ основ'!K22</f>
        <v>193989997</v>
      </c>
      <c r="F22" s="27"/>
      <c r="G22" s="22"/>
      <c r="H22" s="6"/>
    </row>
    <row r="23" spans="1:8" ht="60.75" customHeight="1">
      <c r="A23" s="15" t="s">
        <v>37</v>
      </c>
      <c r="B23" s="28" t="s">
        <v>38</v>
      </c>
      <c r="C23" s="18"/>
      <c r="D23" s="19"/>
      <c r="E23" s="19"/>
      <c r="F23" s="22"/>
      <c r="G23" s="22"/>
      <c r="H23" s="6"/>
    </row>
    <row r="24" spans="1:8" ht="25.5">
      <c r="A24" s="15"/>
      <c r="B24" s="28" t="s">
        <v>39</v>
      </c>
      <c r="C24" s="18">
        <f>'[1]КПЭ основ'!C24</f>
        <v>15</v>
      </c>
      <c r="D24" s="18">
        <f>'[1]КПЭ основ'!G24</f>
        <v>0.76034298395985189</v>
      </c>
      <c r="E24" s="18">
        <f>'[1]КПЭ основ'!K24</f>
        <v>0.76653757977496784</v>
      </c>
      <c r="F24" s="20">
        <f>E24/D24*100</f>
        <v>100.81471072210788</v>
      </c>
      <c r="G24" s="18">
        <f>F24*C24/100</f>
        <v>15.12220660831618</v>
      </c>
      <c r="H24" s="6" t="s">
        <v>40</v>
      </c>
    </row>
    <row r="25" spans="1:8" ht="56.25" customHeight="1">
      <c r="A25" s="15"/>
      <c r="B25" s="29" t="s">
        <v>41</v>
      </c>
      <c r="C25" s="18"/>
      <c r="D25" s="25">
        <f>'[1]КПЭ основ'!G25</f>
        <v>167614831</v>
      </c>
      <c r="E25" s="25">
        <f>'[1]КПЭ основ'!K25</f>
        <v>168980407</v>
      </c>
      <c r="F25" s="19"/>
      <c r="G25" s="18"/>
      <c r="H25" s="6"/>
    </row>
    <row r="26" spans="1:8" ht="96" customHeight="1">
      <c r="A26" s="15"/>
      <c r="B26" s="29" t="s">
        <v>42</v>
      </c>
      <c r="C26" s="18"/>
      <c r="D26" s="25">
        <f>'[1]КПЭ основ'!G26</f>
        <v>220446344</v>
      </c>
      <c r="E26" s="25">
        <f>'[1]КПЭ основ'!K26</f>
        <v>220446344</v>
      </c>
      <c r="F26" s="25"/>
      <c r="G26" s="22"/>
      <c r="H26" s="6"/>
    </row>
    <row r="27" spans="1:8" ht="43.5" customHeight="1">
      <c r="A27" s="15"/>
      <c r="B27" s="29" t="s">
        <v>43</v>
      </c>
      <c r="C27" s="18"/>
      <c r="D27" s="19">
        <f>'[1]КПЭ основ'!G27</f>
        <v>0</v>
      </c>
      <c r="E27" s="19">
        <f>'[1]КПЭ основ'!K27</f>
        <v>0</v>
      </c>
      <c r="F27" s="22"/>
      <c r="G27" s="22"/>
      <c r="H27" s="6"/>
    </row>
    <row r="28" spans="1:8" ht="43.5" customHeight="1">
      <c r="A28" s="15"/>
      <c r="B28" s="29" t="s">
        <v>44</v>
      </c>
      <c r="C28" s="18"/>
      <c r="D28" s="19">
        <f>'[1]КПЭ основ'!G28</f>
        <v>0</v>
      </c>
      <c r="E28" s="19">
        <f>'[1]КПЭ основ'!K28</f>
        <v>0</v>
      </c>
      <c r="F28" s="22"/>
      <c r="G28" s="22"/>
      <c r="H28" s="6"/>
    </row>
    <row r="29" spans="1:8" ht="25.5">
      <c r="A29" s="15" t="s">
        <v>45</v>
      </c>
      <c r="B29" s="30" t="s">
        <v>46</v>
      </c>
      <c r="C29" s="18"/>
      <c r="D29" s="19"/>
      <c r="E29" s="19"/>
      <c r="F29" s="22"/>
      <c r="G29" s="22"/>
      <c r="H29" s="6" t="s">
        <v>24</v>
      </c>
    </row>
    <row r="30" spans="1:8">
      <c r="A30" s="15"/>
      <c r="B30" s="24" t="s">
        <v>47</v>
      </c>
      <c r="C30" s="18">
        <f>'[1]КПЭ основ'!C30</f>
        <v>5</v>
      </c>
      <c r="D30" s="18">
        <f>'[1]КПЭ основ'!G30</f>
        <v>7.2991888177031576</v>
      </c>
      <c r="E30" s="18">
        <f>'[1]КПЭ основ'!K30</f>
        <v>2.4316934542627524</v>
      </c>
      <c r="F30" s="20">
        <f>E30/D30*100</f>
        <v>33.314571180362144</v>
      </c>
      <c r="G30" s="18">
        <f>F30*C30/100</f>
        <v>1.6657285590181072</v>
      </c>
      <c r="H30" s="6"/>
    </row>
    <row r="31" spans="1:8" ht="25.5">
      <c r="A31" s="15"/>
      <c r="B31" s="24" t="s">
        <v>48</v>
      </c>
      <c r="C31" s="18"/>
      <c r="D31" s="25">
        <f>'[1]КПЭ основ'!G31</f>
        <v>44443060</v>
      </c>
      <c r="E31" s="25">
        <f>'[1]КПЭ основ'!K31</f>
        <v>54984594</v>
      </c>
      <c r="F31" s="22"/>
      <c r="G31" s="22"/>
      <c r="H31" s="6"/>
    </row>
    <row r="32" spans="1:8" ht="25.5">
      <c r="A32" s="15"/>
      <c r="B32" s="24" t="s">
        <v>49</v>
      </c>
      <c r="C32" s="18"/>
      <c r="D32" s="25">
        <f>'[1]КПЭ основ'!G32</f>
        <v>11232059</v>
      </c>
      <c r="E32" s="25">
        <f>'[1]КПЭ основ'!K32</f>
        <v>24818369</v>
      </c>
      <c r="F32" s="22"/>
      <c r="G32" s="22"/>
      <c r="H32" s="6"/>
    </row>
    <row r="33" spans="1:8" ht="29.25" customHeight="1">
      <c r="A33" s="15"/>
      <c r="B33" s="24" t="s">
        <v>50</v>
      </c>
      <c r="C33" s="18"/>
      <c r="D33" s="25">
        <f>'[1]КПЭ основ'!G33</f>
        <v>5143292</v>
      </c>
      <c r="E33" s="25">
        <f>'[1]КПЭ основ'!K33</f>
        <v>2206722</v>
      </c>
      <c r="F33" s="22"/>
      <c r="G33" s="22"/>
      <c r="H33" s="6"/>
    </row>
    <row r="34" spans="1:8" ht="25.5">
      <c r="A34" s="31" t="s">
        <v>51</v>
      </c>
      <c r="B34" s="30" t="s">
        <v>52</v>
      </c>
      <c r="C34" s="18"/>
      <c r="D34" s="19"/>
      <c r="E34" s="19"/>
      <c r="F34" s="22"/>
      <c r="G34" s="22"/>
      <c r="H34" s="6" t="s">
        <v>24</v>
      </c>
    </row>
    <row r="35" spans="1:8">
      <c r="A35" s="15"/>
      <c r="B35" s="32" t="s">
        <v>53</v>
      </c>
      <c r="C35" s="18">
        <f>'[1]КПЭ основ'!C35</f>
        <v>5</v>
      </c>
      <c r="D35" s="18">
        <f>'[1]КПЭ основ'!G35</f>
        <v>9.5413603443849961</v>
      </c>
      <c r="E35" s="18">
        <f>'[1]КПЭ основ'!K35</f>
        <v>2.4555399259505513</v>
      </c>
      <c r="F35" s="20">
        <f>E35/D35*100</f>
        <v>25.735742465649714</v>
      </c>
      <c r="G35" s="18">
        <f>F35*C35/100</f>
        <v>1.2867871232824857</v>
      </c>
      <c r="H35" s="6"/>
    </row>
    <row r="36" spans="1:8" ht="30.75" customHeight="1">
      <c r="A36" s="15"/>
      <c r="B36" s="24" t="s">
        <v>54</v>
      </c>
      <c r="C36" s="18"/>
      <c r="D36" s="25">
        <f>'[1]КПЭ основ'!G36</f>
        <v>58095120</v>
      </c>
      <c r="E36" s="25">
        <f>'[1]КПЭ основ'!K36</f>
        <v>55523802</v>
      </c>
      <c r="F36" s="22"/>
      <c r="G36" s="22"/>
      <c r="H36" s="6"/>
    </row>
    <row r="37" spans="1:8" ht="25.5">
      <c r="A37" s="15"/>
      <c r="B37" s="24" t="s">
        <v>49</v>
      </c>
      <c r="C37" s="18"/>
      <c r="D37" s="25">
        <f>'[1]КПЭ основ'!G37</f>
        <v>11232059</v>
      </c>
      <c r="E37" s="25">
        <f>'[1]КПЭ основ'!K37</f>
        <v>24818369</v>
      </c>
      <c r="F37" s="22"/>
      <c r="G37" s="22"/>
      <c r="H37" s="6"/>
    </row>
    <row r="38" spans="1:8" ht="25.5">
      <c r="A38" s="15"/>
      <c r="B38" s="26" t="s">
        <v>55</v>
      </c>
      <c r="C38" s="18"/>
      <c r="D38" s="25">
        <f>'[1]КПЭ основ'!G38</f>
        <v>5143292</v>
      </c>
      <c r="E38" s="25">
        <f>'[1]КПЭ основ'!K38</f>
        <v>2206722</v>
      </c>
      <c r="F38" s="22"/>
      <c r="G38" s="22"/>
      <c r="H38" s="6"/>
    </row>
    <row r="39" spans="1:8" ht="24.75" customHeight="1">
      <c r="A39" s="15" t="s">
        <v>56</v>
      </c>
      <c r="B39" s="24" t="s">
        <v>57</v>
      </c>
      <c r="C39" s="18">
        <f>'[1]КПЭ основ'!C39</f>
        <v>10</v>
      </c>
      <c r="D39" s="19">
        <f>'[1]КПЭ основ'!G39</f>
        <v>10569568</v>
      </c>
      <c r="E39" s="19">
        <f>'[1]КПЭ основ'!K39</f>
        <v>17639752</v>
      </c>
      <c r="F39" s="20">
        <f>E39/D39*100</f>
        <v>166.89189189189187</v>
      </c>
      <c r="G39" s="18">
        <f>F39*C39/100</f>
        <v>16.689189189189186</v>
      </c>
      <c r="H39" s="6" t="s">
        <v>24</v>
      </c>
    </row>
    <row r="40" spans="1:8" ht="25.5">
      <c r="A40" s="33" t="s">
        <v>58</v>
      </c>
      <c r="B40" s="34" t="s">
        <v>59</v>
      </c>
      <c r="C40" s="18">
        <f>'[1]КПЭ основ'!C40</f>
        <v>10</v>
      </c>
      <c r="D40" s="18">
        <f>'[1]КПЭ основ'!G40</f>
        <v>1.1044776119402986</v>
      </c>
      <c r="E40" s="18">
        <f>'[1]КПЭ основ'!K40</f>
        <v>1.8432835820895523</v>
      </c>
      <c r="F40" s="20">
        <f>E40/D40*100</f>
        <v>166.89189189189187</v>
      </c>
      <c r="G40" s="18">
        <f>F40*C40/100</f>
        <v>16.689189189189186</v>
      </c>
      <c r="H40" s="6" t="s">
        <v>24</v>
      </c>
    </row>
    <row r="41" spans="1:8" ht="63.75">
      <c r="A41" s="15"/>
      <c r="B41" s="24" t="s">
        <v>60</v>
      </c>
      <c r="C41" s="18"/>
      <c r="D41" s="25"/>
      <c r="E41" s="25"/>
      <c r="F41" s="22"/>
      <c r="G41" s="22"/>
      <c r="H41" s="6"/>
    </row>
    <row r="42" spans="1:8">
      <c r="A42" s="15"/>
      <c r="B42" s="32" t="s">
        <v>61</v>
      </c>
      <c r="C42" s="18"/>
      <c r="D42" s="25">
        <f>'[1]КПЭ основ'!G42</f>
        <v>3350</v>
      </c>
      <c r="E42" s="25">
        <f>'[1]КПЭ основ'!K42</f>
        <v>3350</v>
      </c>
      <c r="F42" s="22"/>
      <c r="G42" s="22"/>
      <c r="H42" s="6"/>
    </row>
    <row r="43" spans="1:8">
      <c r="A43" s="15"/>
      <c r="B43" s="32" t="s">
        <v>62</v>
      </c>
      <c r="C43" s="18"/>
      <c r="D43" s="25">
        <f>'[1]КПЭ основ'!G43</f>
        <v>3350</v>
      </c>
      <c r="E43" s="25">
        <f>'[1]КПЭ основ'!K43</f>
        <v>3350</v>
      </c>
      <c r="F43" s="22"/>
      <c r="G43" s="22"/>
      <c r="H43" s="6"/>
    </row>
    <row r="44" spans="1:8">
      <c r="A44" s="15"/>
      <c r="B44" s="32" t="s">
        <v>63</v>
      </c>
      <c r="C44" s="18"/>
      <c r="D44" s="25">
        <f>'[1]КПЭ основ'!G44</f>
        <v>3700</v>
      </c>
      <c r="E44" s="25">
        <f>'[1]КПЭ основ'!K44</f>
        <v>6175</v>
      </c>
      <c r="F44" s="22"/>
      <c r="G44" s="22"/>
      <c r="H44" s="6"/>
    </row>
    <row r="45" spans="1:8">
      <c r="A45" s="15"/>
      <c r="B45" s="26"/>
      <c r="C45" s="18">
        <f>SUM(C14:C44)</f>
        <v>100</v>
      </c>
      <c r="D45" s="22"/>
      <c r="E45" s="22"/>
      <c r="F45" s="22"/>
      <c r="G45" s="18">
        <f>SUM(G14:G44)</f>
        <v>113.88421190674461</v>
      </c>
      <c r="H45" s="6"/>
    </row>
    <row r="46" spans="1:8">
      <c r="A46" s="3"/>
      <c r="B46" s="3"/>
      <c r="C46" s="2"/>
      <c r="D46" s="35"/>
    </row>
    <row r="47" spans="1:8" ht="15">
      <c r="A47" s="3"/>
      <c r="B47" s="36"/>
      <c r="C47" s="37"/>
      <c r="D47" s="38"/>
    </row>
    <row r="48" spans="1:8" ht="15.75">
      <c r="A48" s="3"/>
      <c r="B48" s="39" t="s">
        <v>64</v>
      </c>
      <c r="C48" s="39"/>
      <c r="D48" s="40" t="s">
        <v>65</v>
      </c>
    </row>
    <row r="49" spans="1:6" ht="15.75">
      <c r="A49" s="3"/>
      <c r="B49" s="1"/>
      <c r="C49" s="41"/>
      <c r="D49" s="42"/>
    </row>
    <row r="50" spans="1:6" ht="15.75">
      <c r="A50" s="3"/>
      <c r="B50" s="1" t="s">
        <v>66</v>
      </c>
      <c r="C50" s="41"/>
      <c r="D50" s="1" t="s">
        <v>67</v>
      </c>
    </row>
    <row r="51" spans="1:6">
      <c r="A51" s="3"/>
      <c r="B51" s="3"/>
      <c r="C51" s="2"/>
    </row>
    <row r="52" spans="1:6">
      <c r="D52" s="43"/>
      <c r="E52" s="43"/>
    </row>
    <row r="53" spans="1:6">
      <c r="D53" s="44"/>
    </row>
    <row r="54" spans="1:6">
      <c r="C54" s="3"/>
      <c r="D54" s="43"/>
      <c r="E54" s="43"/>
    </row>
    <row r="55" spans="1:6">
      <c r="D55" s="43"/>
      <c r="E55" s="43"/>
      <c r="F55" s="43"/>
    </row>
    <row r="56" spans="1:6">
      <c r="D56" s="43"/>
      <c r="E56" s="43"/>
    </row>
    <row r="57" spans="1:6">
      <c r="D57" s="43"/>
      <c r="E57" s="43"/>
    </row>
    <row r="58" spans="1:6">
      <c r="D58" s="43"/>
      <c r="E58" s="43"/>
    </row>
    <row r="60" spans="1:6">
      <c r="E60" s="43"/>
    </row>
    <row r="61" spans="1:6">
      <c r="E61" s="43"/>
    </row>
    <row r="62" spans="1:6">
      <c r="E62" s="43"/>
    </row>
    <row r="63" spans="1:6">
      <c r="E63" s="43"/>
    </row>
    <row r="64" spans="1:6">
      <c r="E64" s="43"/>
    </row>
  </sheetData>
  <mergeCells count="17">
    <mergeCell ref="H11:H12"/>
    <mergeCell ref="L11:O12"/>
    <mergeCell ref="P11:S12"/>
    <mergeCell ref="A10:A12"/>
    <mergeCell ref="B10:B12"/>
    <mergeCell ref="C10:C12"/>
    <mergeCell ref="D10:G10"/>
    <mergeCell ref="D11:D12"/>
    <mergeCell ref="E11:E12"/>
    <mergeCell ref="F11:F12"/>
    <mergeCell ref="G11:G12"/>
    <mergeCell ref="A8:G8"/>
    <mergeCell ref="E1:G1"/>
    <mergeCell ref="E2:G2"/>
    <mergeCell ref="E3:G3"/>
    <mergeCell ref="A6:D6"/>
    <mergeCell ref="A7:G7"/>
  </mergeCells>
  <pageMargins left="0.70866141732283472" right="0.27559055118110237" top="0.74803149606299213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Интеграл коэф 9 мес 22</vt:lpstr>
      <vt:lpstr>КПЭ доп 9 мес 22</vt:lpstr>
      <vt:lpstr>КПЭ осн 9 месг22г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2022-10-20T04:13:20Z</dcterms:created>
  <dcterms:modified xsi:type="dcterms:W3CDTF">2022-10-20T04:49:14Z</dcterms:modified>
</cp:coreProperties>
</file>