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0" yWindow="825" windowWidth="15480" windowHeight="9975" tabRatio="816" firstSheet="23" activeTab="34"/>
  </bookViews>
  <sheets>
    <sheet name="Титул" sheetId="1" r:id="rId1"/>
    <sheet name="Основ тех экон показ" sheetId="2" r:id="rId2"/>
    <sheet name="Расш чистой приб " sheetId="3" r:id="rId3"/>
    <sheet name="Свод затрат  с ТЭР" sheetId="4" r:id="rId4"/>
    <sheet name="Фонд охраны труда" sheetId="5" r:id="rId5"/>
    <sheet name="Прямые произв затраты" sheetId="6" r:id="rId6"/>
    <sheet name="Аморт" sheetId="7" r:id="rId7"/>
    <sheet name="Расх периода" sheetId="8" r:id="rId8"/>
    <sheet name="Расчет налогов" sheetId="9" r:id="rId9"/>
    <sheet name="Исп мощ" sheetId="10" r:id="rId10"/>
    <sheet name="ФЭП" sheetId="11" r:id="rId11"/>
    <sheet name="Инвест.про" sheetId="12" r:id="rId12"/>
    <sheet name="Нов.раб.мес." sheetId="13" r:id="rId13"/>
    <sheet name="КПЭприл2а" sheetId="14" r:id="rId14"/>
    <sheet name="КПЭприл2б" sheetId="15" r:id="rId15"/>
    <sheet name="Фин резул" sheetId="16" r:id="rId16"/>
    <sheet name="Баланс по кв" sheetId="17" r:id="rId17"/>
    <sheet name="Баланс 2017  1.01.17" sheetId="18" r:id="rId18"/>
    <sheet name="Форма № 2 по квар" sheetId="19" r:id="rId19"/>
    <sheet name="Форма № 2" sheetId="20" r:id="rId20"/>
    <sheet name="Форма № 4 1.01.17" sheetId="21" r:id="rId21"/>
    <sheet name="смета расходов" sheetId="22" r:id="rId22"/>
    <sheet name="план выпуска" sheetId="23" r:id="rId23"/>
    <sheet name="план реализации" sheetId="24" r:id="rId24"/>
    <sheet name="погашение долгов" sheetId="25" state="hidden" r:id="rId25"/>
    <sheet name="Калькуляция" sheetId="26" r:id="rId26"/>
    <sheet name="Повыш.квал." sheetId="27" r:id="rId27"/>
    <sheet name="Сниж.себ" sheetId="28" r:id="rId28"/>
    <sheet name="Спонсор." sheetId="29" r:id="rId29"/>
    <sheet name="НРП" sheetId="30" r:id="rId30"/>
    <sheet name="Устав.кап" sheetId="31" r:id="rId31"/>
    <sheet name="погашен долгов" sheetId="32" r:id="rId32"/>
    <sheet name="Инвестиции" sheetId="33" r:id="rId33"/>
    <sheet name="ОС и НА" sheetId="34" r:id="rId34"/>
    <sheet name="Модерниз и рек" sheetId="35" r:id="rId35"/>
  </sheets>
  <externalReferences>
    <externalReference r:id="rId38"/>
    <externalReference r:id="rId39"/>
    <externalReference r:id="rId40"/>
  </externalReferences>
  <definedNames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_xlnm.Print_Titles" localSheetId="29">'НРП'!$5:$5</definedName>
    <definedName name="_xlnm.Print_Titles" localSheetId="33">'ОС и НА'!$5:$5</definedName>
    <definedName name="_xlnm.Print_Titles" localSheetId="22">'план выпуска'!$A:$B</definedName>
    <definedName name="_xlnm.Print_Titles" localSheetId="23">'план реализации'!$A:$C</definedName>
    <definedName name="_xlnm.Print_Titles" localSheetId="26">'Повыш.квал.'!$2:$2</definedName>
    <definedName name="_xlnm.Print_Titles" localSheetId="24">'погашение долгов'!$A:$B</definedName>
    <definedName name="_xlnm.Print_Titles" localSheetId="21">'смета расходов'!$A:$B</definedName>
    <definedName name="_xlnm.Print_Titles" localSheetId="27">'Сниж.себ'!$4:$4</definedName>
    <definedName name="_xlnm.Print_Titles" localSheetId="10">'ФЭП'!$A:$B</definedName>
    <definedName name="_xlnm.Print_Area" localSheetId="12">'Нов.раб.мес.'!$A$1:$G$24</definedName>
    <definedName name="_xlnm.Print_Area" localSheetId="24">'погашение долгов'!$A$1:$D$6</definedName>
    <definedName name="сирье" localSheetId="17">#REF!</definedName>
    <definedName name="сирье" localSheetId="32">#REF!</definedName>
    <definedName name="сирье" localSheetId="29">#REF!</definedName>
    <definedName name="сирье" localSheetId="33">#REF!</definedName>
    <definedName name="сирье" localSheetId="26">#REF!</definedName>
    <definedName name="сирье" localSheetId="2">#REF!</definedName>
    <definedName name="сирье" localSheetId="3">#REF!</definedName>
    <definedName name="сирье" localSheetId="21">#REF!</definedName>
    <definedName name="сирье" localSheetId="27">#REF!</definedName>
    <definedName name="сирье" localSheetId="28">#REF!</definedName>
    <definedName name="сирье" localSheetId="30">#REF!</definedName>
    <definedName name="сирье" localSheetId="18">#REF!</definedName>
    <definedName name="сирье" localSheetId="20">#REF!</definedName>
    <definedName name="сирье" localSheetId="10">#REF!</definedName>
    <definedName name="сирье">#REF!</definedName>
    <definedName name="Сырье" localSheetId="32">#REF!</definedName>
    <definedName name="Сырье" localSheetId="29">#REF!</definedName>
    <definedName name="Сырье" localSheetId="33">#REF!</definedName>
    <definedName name="Сырье" localSheetId="22">#REF!</definedName>
    <definedName name="Сырье" localSheetId="23">#REF!</definedName>
    <definedName name="Сырье" localSheetId="26">#REF!</definedName>
    <definedName name="Сырье" localSheetId="27">#REF!</definedName>
    <definedName name="Сырье" localSheetId="28">#REF!</definedName>
    <definedName name="Сырье" localSheetId="30">#REF!</definedName>
    <definedName name="Сырье">#REF!</definedName>
    <definedName name="ыодлпфврж" localSheetId="17">#REF!</definedName>
    <definedName name="ыодлпфврж" localSheetId="32">#REF!</definedName>
    <definedName name="ыодлпфврж" localSheetId="29">#REF!</definedName>
    <definedName name="ыодлпфврж" localSheetId="33">#REF!</definedName>
    <definedName name="ыодлпфврж" localSheetId="26">#REF!</definedName>
    <definedName name="ыодлпфврж" localSheetId="2">#REF!</definedName>
    <definedName name="ыодлпфврж" localSheetId="3">#REF!</definedName>
    <definedName name="ыодлпфврж" localSheetId="21">#REF!</definedName>
    <definedName name="ыодлпфврж" localSheetId="27">#REF!</definedName>
    <definedName name="ыодлпфврж" localSheetId="28">#REF!</definedName>
    <definedName name="ыодлпфврж" localSheetId="30">#REF!</definedName>
    <definedName name="ыодлпфврж" localSheetId="18">#REF!</definedName>
    <definedName name="ыодлпфврж" localSheetId="20">#REF!</definedName>
    <definedName name="ыодлпфврж">#REF!</definedName>
  </definedNames>
  <calcPr fullCalcOnLoad="1"/>
</workbook>
</file>

<file path=xl/sharedStrings.xml><?xml version="1.0" encoding="utf-8"?>
<sst xmlns="http://schemas.openxmlformats.org/spreadsheetml/2006/main" count="2251" uniqueCount="1549">
  <si>
    <t xml:space="preserve">Карам хўжалик жамиятларига инвестициялар (0630)
Инвестиции в зависимые хозяйственные общества (0630) </t>
  </si>
  <si>
    <t>Чет эл капитали мавжуд бўлган корхоналарга инвестициялар (0640)
Инвестиции в предприятие с иностранным капиталом (0640)</t>
  </si>
  <si>
    <t>Бошка узок муддатли инвестициялар (0690) 
Прочие долгосрочные инвестиции (0690)</t>
  </si>
  <si>
    <t>Ўрнатиладиган асбоб-ускуналар (0700)
Оборудование к установке (0700)</t>
  </si>
  <si>
    <t xml:space="preserve">Капитал кўйилмалар (0800)
Капитальные вложения (0800) </t>
  </si>
  <si>
    <t xml:space="preserve">Узок муддатли дебиторлик карзлари (0910, 0920, 0930, 0940)
Долгосрочная дебиторская задолженность (0910, 0920, 0930, 0940) </t>
  </si>
  <si>
    <t xml:space="preserve">шундан: муддати ўтган
из нее: просроченная </t>
  </si>
  <si>
    <t xml:space="preserve">Узок муддатли кечиктирилган харажатлар (0950, 0960, 0990)
Долгосрочные отсроченные расходы (0950, 0960, 0990) </t>
  </si>
  <si>
    <t>I бўлим бўйича жами  (сатр. 012+022+030+090+100+110+120)
Итого по разделу I  (стр. 012+022+030+090+100+110+120)</t>
  </si>
  <si>
    <t xml:space="preserve"> </t>
  </si>
  <si>
    <t>II.Жорий активлар
II.Текущие активы</t>
  </si>
  <si>
    <t>Товар-моддий захиралари, жами (сатр.150+160+170+180), шу жумладан:
Товарно-материальные запасы, всего (стр.150+160+170+180), в том числе:</t>
  </si>
  <si>
    <t>Ишлаб чикариш захиралари (1000, 1100, 1500, 1600)
Производственные запасы (1000, 1100, 1500, 1600)</t>
  </si>
  <si>
    <t>Тугалланмаган ишлаб чикариш (2000, 2100, 2300, 2700)
Незавершенное производство (2000, 2100, 2300, 2700)</t>
  </si>
  <si>
    <t>Тайёр махсулот (2800)
Готовая продукция (2800)</t>
  </si>
  <si>
    <t>Товарлар (2900 дан 2980 нинг айирмаси)
Товары (2900 за минусом 2980)</t>
  </si>
  <si>
    <t>Келгуси давр харажатлари (3100)
Расходы будущих периодов (3100)</t>
  </si>
  <si>
    <t>Кечиктирилган харажатлар (3200)
Отсроченные расходы (3200)</t>
  </si>
  <si>
    <t>Дебиторлар, жами (сатр.220+230+240+250+
260+270+280+290+300+310)
Дебиторы, всего  (стр.220+230+240+250+
260+270+280+290+300+310)</t>
  </si>
  <si>
    <t>Харидор ва буюртмачиларнинг карзи (4000 дан 4900 нинг айирмаси)
Задолженность покупателей и заказчиков (4000 за минусом 4900)</t>
  </si>
  <si>
    <t>Ажратилган бўлинмаларнинг карзи (4110) 
Задолженность обособленных подразделений (4110)</t>
  </si>
  <si>
    <t>Шўъба ва карам хўжалик жамиятларнинг карзи (4120)
Задолженность дочерних и зависимых хозяйственных обществ (4120)</t>
  </si>
  <si>
    <t>Ходимларга берилган бўнаклар (4200)
Авансы, выданные персоналу (4200)</t>
  </si>
  <si>
    <t>Мол етказиб берувчилар ва пудратчиларга берилган бўнаклар (4300)
Авансы, выданные поставщикам и подрядчикам (4300)</t>
  </si>
  <si>
    <t>Бюджетга солик ва йигимлар бўйича бўнак тўловлари (4400)
Авансовые платежи по налогам и сборам в бюджет (4400)</t>
  </si>
  <si>
    <t>Максадли давлат жамгармалари ва сугурталар бўйича бўнак тўловлари (4500)
Авансовые платежи в государственные целевые фонды и по страхованию (4500)</t>
  </si>
  <si>
    <t>Таъсисчиларнинг устав капиталига улушлар бўйича карзи (4600)
Задолженность учредителей по вкладам в уставный капитал (4600)</t>
  </si>
  <si>
    <t>Ходимларнинг бошка операциялар бўйича карзи (4700)
Задолженность персонала по прочим операциям (4700)</t>
  </si>
  <si>
    <t>Бошка дебиторлик карзлари (4800)
Прочие дебиторские задолженности (4800)</t>
  </si>
  <si>
    <t>Пул маблаглари, жами (сатр.330+340+350+360), шу жумладан:
Денежные средства, всего (стр.330+340+350+360), в том числе:</t>
  </si>
  <si>
    <t>Кассадаги пул маблаглари  (5000)
Денежные средства в кассе (5000)</t>
  </si>
  <si>
    <t>Хисоблашиш счётидаги пул маблаглари  (5100)
Денежные средства на расчетном счете (5100)</t>
  </si>
  <si>
    <t>Чет эл валютасидаги пул маблаглари (5200)
Денежные средства в иностранной валюте (5200)</t>
  </si>
  <si>
    <t>Бошка пул маблаглари ва эквивалентлари (5500, 5600, 5700)
Прочие денежные средства и эквиваленты (5500, 5600, 5700)</t>
  </si>
  <si>
    <t xml:space="preserve">киска муддатли инвестициялар (5800)
Краткосрочные инвестиции (5800) </t>
  </si>
  <si>
    <t xml:space="preserve">Бошка жорий активлар (5900)
Прочие текущие активы (5900) </t>
  </si>
  <si>
    <t xml:space="preserve">II бўлим бўйича жами (сатр.140+190+200+210+320+370+380)
Итого по разделу II  (стр. 140+190+200+210+320+370+380) </t>
  </si>
  <si>
    <t xml:space="preserve">Баланс активи бўйича жами (сатр.130+390)
Всего по активу баланса (стр.130+стр.390) </t>
  </si>
  <si>
    <t>Пассив.
 I.Уз маблаглари манбалари 
I.Источники собственных средств</t>
  </si>
  <si>
    <t>Устав капитали (8300)
Уставный капитал (8300)</t>
  </si>
  <si>
    <t xml:space="preserve">Кўшилган капитал (8400)
Добавленный капитал (8400) </t>
  </si>
  <si>
    <t>Резерв капитали (8500)
Резервный капитал (8500)</t>
  </si>
  <si>
    <t>Сотиб олинган хусусий акциялар (8600)
Выкупленные собственные акции (8600)</t>
  </si>
  <si>
    <t>Таксимланмаган фойда (копланмаган зарар) (8700)
Нераспределенная прибыль (непокрытый убыток) (8700)</t>
  </si>
  <si>
    <t xml:space="preserve">Максадли тушумлар (8800)
Целевые поступления (8800) </t>
  </si>
  <si>
    <t>Келгуси давр харажатлари ва тўловлари учун захиралар (8900) 
Резервы предстоящих расходов и платежей (8900)</t>
  </si>
  <si>
    <t>I бўлим бўйича жами (сатр.410+420+430-440+450+460+470)
Итого по разделу I  (стр.410+420+430-440+450+460+470)</t>
  </si>
  <si>
    <t xml:space="preserve">II. Мажбуриятлар
II. Обязательства  </t>
  </si>
  <si>
    <t>Узок муддатли мажбуриятлар, жами (сатр.500+510+520+530+540+550+560+570+580+590)
Долгосрочные обязательства, всего (стр.500+510+520+530+540+550+560+570+580+590)</t>
  </si>
  <si>
    <t>шу жумладан: узок муддатли кредиторлик карзлари (сатр.500+520+540+560+590)
в том числе: долгосрочная кредиторская задолженность (стр.500+520+540+560+590)</t>
  </si>
  <si>
    <t>Режа</t>
  </si>
  <si>
    <t>Кутилаётган</t>
  </si>
  <si>
    <t>Годовая процентная ставка, %</t>
  </si>
  <si>
    <t>Приложение №</t>
  </si>
  <si>
    <t>Показатели</t>
  </si>
  <si>
    <t>Объем товарной продукции</t>
  </si>
  <si>
    <t>Объем товаров народного потребления</t>
  </si>
  <si>
    <t>Объем экспорта</t>
  </si>
  <si>
    <t>Ед.имз.</t>
  </si>
  <si>
    <t>Основная номенклатура:</t>
  </si>
  <si>
    <t>Наименование инициаторов и проектов</t>
  </si>
  <si>
    <t>Проектная мощность</t>
  </si>
  <si>
    <t>Сроки реализации</t>
  </si>
  <si>
    <t>Общая стоимость проекта</t>
  </si>
  <si>
    <t>всего</t>
  </si>
  <si>
    <t>в том числе по источникам финансирования</t>
  </si>
  <si>
    <t>собственные средства</t>
  </si>
  <si>
    <t>прямые иностранные инвестиции и кредиты</t>
  </si>
  <si>
    <t>прочие</t>
  </si>
  <si>
    <t>Всего</t>
  </si>
  <si>
    <t>Наименование предприятия</t>
  </si>
  <si>
    <t>в том числе</t>
  </si>
  <si>
    <t>по инвестициооной программе</t>
  </si>
  <si>
    <t>по программе локализации</t>
  </si>
  <si>
    <t>по программе развития отрасли</t>
  </si>
  <si>
    <t>по программе развития надомного труда</t>
  </si>
  <si>
    <t>Тема проведения лекций, семинаров, курсов</t>
  </si>
  <si>
    <t>Категории руководителей и специалистов</t>
  </si>
  <si>
    <t>Период</t>
  </si>
  <si>
    <t>Наименование показателей</t>
  </si>
  <si>
    <t>% к себестоимости</t>
  </si>
  <si>
    <t xml:space="preserve">Выплата дивидендов </t>
  </si>
  <si>
    <t>Среднее процентное 
значение снижения
себестоимости</t>
  </si>
  <si>
    <t>ИТОГО</t>
  </si>
  <si>
    <t>Исполнение программы спонсорской деятельности</t>
  </si>
  <si>
    <t>Основание</t>
  </si>
  <si>
    <t>Простые акции</t>
  </si>
  <si>
    <t>Прочие долгосрочные инвестиции</t>
  </si>
  <si>
    <t>Расшифровка счета "Уставный капитал"</t>
  </si>
  <si>
    <t>Уставный капитал</t>
  </si>
  <si>
    <t>Капитализация</t>
  </si>
  <si>
    <t>Долгосрочные инвестиции</t>
  </si>
  <si>
    <t>1</t>
  </si>
  <si>
    <t>накоплен-ный износ</t>
  </si>
  <si>
    <t>ост. ст-ть</t>
  </si>
  <si>
    <t>в т.ч.переоценка</t>
  </si>
  <si>
    <t>Расшифровка нераспеределенной прибыли</t>
  </si>
  <si>
    <t>Резервный фонд</t>
  </si>
  <si>
    <t>4</t>
  </si>
  <si>
    <t>млн.сум</t>
  </si>
  <si>
    <t>тн</t>
  </si>
  <si>
    <t>тыс.долл.</t>
  </si>
  <si>
    <t>Всего (без учета сырья и обязательных платежей)</t>
  </si>
  <si>
    <t>Выделяемые средства (млн.сум)</t>
  </si>
  <si>
    <t xml:space="preserve">в.т.ч. за счёт:  </t>
  </si>
  <si>
    <t>экономии энергоресурсов</t>
  </si>
  <si>
    <t>нормирования и сокращения удельных норм расхода сырья и материалов</t>
  </si>
  <si>
    <t>Сокращение расходов на содержание АУП</t>
  </si>
  <si>
    <t>снижения производственных косвенных затрат и эксплуатационных расходов</t>
  </si>
  <si>
    <t>Снижение технологических и др. потерь</t>
  </si>
  <si>
    <t>оптимизации численности производственно-промышленного персонала за счет совершенствования организационной структуры производства</t>
  </si>
  <si>
    <t>Снижение накладных затрат</t>
  </si>
  <si>
    <t>Предлагаемое распределение прибыли, всего</t>
  </si>
  <si>
    <t>снижение удельных затрат за счет увеличения производительности труда</t>
  </si>
  <si>
    <t xml:space="preserve">План </t>
  </si>
  <si>
    <t xml:space="preserve">шундан: муддати ўтган узок муддатли кредиторлик карзлари 
из нее: просроченная долгосрочная кредиторская задолженность </t>
  </si>
  <si>
    <t>Мол етказиб берувчилар ва пудратчиларга узок муддатли карз (7000)
Долгосрочная задолженость поставщикам и подрядчикам (7000)</t>
  </si>
  <si>
    <t>Ажратилган бўлинмаларга узок муддатли карз (7110) 
Долгосрочная задолженность обособленным подразделениям (7110)</t>
  </si>
  <si>
    <t>Шўъба ва карам хўжалик жамиятларга узок муддатли карз (7120) 
Долгосрочная задолженность дочерним и зависимым хозяйственным обществам (7120)</t>
  </si>
  <si>
    <t>Узок муддатли кечиктирилган даромадлар (7210, 7220, 7230) 
Долгосрочные отсроченные  доходы  (7210, 7220, 7230)</t>
  </si>
  <si>
    <t>Солик ва мажбурий тўловлар бўйича узок муддатли кечиктирилган мажбуриятлар (7240) 
Долгосрочные отсроченные  обязательства по налогам и обязательным платежам (7240)</t>
  </si>
  <si>
    <t>Бошка узок муддатли кечиктирилган мажбуриятлар (7250, 7290)
Прочие долгосрочные отсроченные обязательства (7250, 7290)</t>
  </si>
  <si>
    <t>Харидорлар ва буюртмачилардан олинган бўнаклар (7300)
Авансы, полученные от покупателей и заказчиков (7300)</t>
  </si>
  <si>
    <t>Узок муддатли банк кредитлари (7810)
Долгосрочные банковские кредиты (7810)</t>
  </si>
  <si>
    <t>Узок муддатли карзлар (7820, 7830, 7840)
Долгосрочные займы  (7820, 7830, 7840)</t>
  </si>
  <si>
    <t>Бошка узок муддатли кредиторлик карзлар (7900)
Прочие долгосрочные кредиторские задолженности (7900)</t>
  </si>
  <si>
    <t>Жорий мажбуриятлар, жами сатр.610+630+640+650+660 
+670+680+690+700+710+720+730+740+750+760)
Текущие обязательства,  всего(стр.610+620+630+640
+650+660+670+680+690+700+710+720+730+740+750+760</t>
  </si>
  <si>
    <t>шу жумладан: жорий кредиторлик карзлари (сатр.610+630+650+670+680+690+ +700+710+720+760)
в том числе: текущая кредиторская задолженность (стр.610+630+650+670+680+690+ +700+710+720+760)</t>
  </si>
  <si>
    <t xml:space="preserve">шундан: муддати ўтган жорий кредиторлик карзлари 
из нее: просроченная текущая кредиторская задолженность </t>
  </si>
  <si>
    <t xml:space="preserve">Мол етказиб берувчилар ва пудратчиларга карз (6000) 
Задолженность поставщикам и подрядчикам  (6000) </t>
  </si>
  <si>
    <t xml:space="preserve">Ажратилган бўлинмаларга карз (6110)
Задолженность обособленным подразделениям (6110) </t>
  </si>
  <si>
    <t xml:space="preserve">Шўъба ва карам хўжалик жамиятларга карз (6120)
Задолженность дочерним и зависимым хозяйственным обществам (6120) </t>
  </si>
  <si>
    <t>Кечиктирилган даромадлар (6210, 6220, 6230)
Отсроченные доходы (6210, 6220, 6230)</t>
  </si>
  <si>
    <t>Солик ва мажбурий тўловлар бўйича кечиктирилган мажбуриятлар (6240) 
Отсроченные  обязательства по налогам и обязательным платежам (6240)</t>
  </si>
  <si>
    <t>"Солик ва мажбурий тўловлар бўйича кечиктирилган мажбуриятлар (6240)
Отсроченные  обязательства по налогам и обязательным платежам (6240)</t>
  </si>
  <si>
    <t>Олинган бўнаклар (6300)
Полученные авансы (6300)</t>
  </si>
  <si>
    <t>Бюджетга тўловлар бўйича карз (6400)
Задолженность по платежам в бюджет (6400)</t>
  </si>
  <si>
    <t>Сугурталар бўйича карз (6510)
Задолженность по страхованию (6510)</t>
  </si>
  <si>
    <t>Максадли давлат жамгармаларига тўловлар бўйича карз (6520)
Задолженность по платежам в государственные целевые фонды (6520)</t>
  </si>
  <si>
    <t>Таъсисчиларга бўлган карзлар (6600)
Задолженность учредителям (6600)</t>
  </si>
  <si>
    <t xml:space="preserve">Мехнатга  хак тўлаш бўйича карз (6700)
Задолженность по оплате труда (6700) </t>
  </si>
  <si>
    <t>Киска муддатли банк кредитлари  (6810)
Краткосрочные банковские кредиты (6810)</t>
  </si>
  <si>
    <t>Киска муддатли карзлар (6820, 6830, 6840)
Краткосрочные займы (6820, 6830, 6840)</t>
  </si>
  <si>
    <t>Узок муддатли мажбуриятларнинг жорий кисми (6950)
Текущая часть долгосрочных обязательств (6950)</t>
  </si>
  <si>
    <t>Бошка кредиторлик карзлар (6950 дан ташкари 6900)
Прочие кредиторские задолженности (6900 кроме 6950)</t>
  </si>
  <si>
    <t>II бўлим бўйича жами  (сатр.490+600)
Итого по разделу II  (стр.490+600)</t>
  </si>
  <si>
    <t>Баланс пассиви бўйича жами (сатр.480+770)
Всего по пассиву баланса (стр.480+770)</t>
  </si>
  <si>
    <t>Курсаткичлар   Показатели</t>
  </si>
  <si>
    <t>Сатр
раками
№ строк</t>
  </si>
  <si>
    <t>Масулот (товар, иш ва измат) ларни сотишдан соф тушум
Чистая выручка от реализации продукции (товаров, работ и услуг)</t>
  </si>
  <si>
    <t>Сотилган масулот (товар, иш ва измат) ларнинг таннари
Себестоимость реализованной продукции (товаров, работ и услуг)</t>
  </si>
  <si>
    <t>Масулот (товар, иш ва измат) ларни сотишнинг ялпи фойдаси (зарари) (сатр.010-020)
Валовая прибыль (убыток) от реализации продукции (товаров, работ и услуг)  (стр.010-020)</t>
  </si>
  <si>
    <t xml:space="preserve">Сотиш аражатлари 
Расоды по реализации  </t>
  </si>
  <si>
    <t>Маъмурий аражатлар
Административные расоды</t>
  </si>
  <si>
    <t xml:space="preserve">Бошка операцион аражатлар 
Прочие операционные расоды </t>
  </si>
  <si>
    <t>Келгусида соликка тортиладиган базадан чикариладиган исобот даври аражатлари
Расоды отчетного периода, исключаемые из налогооблагаемой базы в будущем</t>
  </si>
  <si>
    <t xml:space="preserve">Асосий фаолиятнинг бошка даромадлари
Прочие дооды от основной деятельности </t>
  </si>
  <si>
    <t xml:space="preserve">Асосий фаолиятнинг фойдаси (зарари) (сатр. 030-040+090)
Прибыль (убыток) от основной деятельности  (стр.030-040+090) </t>
  </si>
  <si>
    <t>Молиявий фаолиятнинг даромадлари, жами (сатр.120+130+140+150+160), шу жумладан:
Дооды от финансовой деятельности, всего (стр.120+130+140+150+160), в том числе:</t>
  </si>
  <si>
    <t xml:space="preserve">Фоизлар шаклидаги даромадлар
Дооды в виде процентов </t>
  </si>
  <si>
    <t>Узок муддатли ижара (молиявий лизинг) дан даромадлар 
Дооды от долгосрочной аренды (финансовый лизинг)</t>
  </si>
  <si>
    <t>Валюта курси фаркидан даромадлар
Дооды от валютных курсовых разниц</t>
  </si>
  <si>
    <t>Молиявий фаолият бўйича аражатлар (сатр.180+190+200+210),  шу жумладан: 
Расоды по финансовой деятельности (стр.180+190+200+210),  в том числе:</t>
  </si>
  <si>
    <t>Фоизлар шаклидаги харажатлар
Расходы в виде процентов</t>
  </si>
  <si>
    <t>Узок муддатли ижара (молиявий лизинг) бўйича фоизлар шаклидаги аражатлар
Расоды в виде процентов по долгосрочной аренде (финансовому лизингу)</t>
  </si>
  <si>
    <t>Валюта курси фаркидан зарарлар
Убытки от валютных курсовых разниц</t>
  </si>
  <si>
    <t>Умумўжалик фаолиятининг фойдаси (зарари) (сатр.100+110-170)
Прибыль (убыток) от общеозяйственной деятельности (стр.100+110-170)</t>
  </si>
  <si>
    <t>Фавкулоддаги фойда ва зарарлар
Чрезвычайные прибыли и убытки</t>
  </si>
  <si>
    <t>Даромад (фойда) солигини тўлагунга кадар фойда (зарар) (сатр.220+/-230)
Прибыль (убыток) до уплаты налога на дооды (прибыль) (стр.220+/-230)</t>
  </si>
  <si>
    <t>Даромад (фойда) солиги
Налог на дооды (прибыль)</t>
  </si>
  <si>
    <t>Юкори даромад солиги
Налог на сверприбыль</t>
  </si>
  <si>
    <t xml:space="preserve">Фойдадан бошка соликлар ва йигимлар
Прочие налоги и сборы от прибыли </t>
  </si>
  <si>
    <t>Хисобот даврининг соф фойдаси (зарари) (сатр.240-250-260)
Чистая прибыль (убыток) отчетного периода (стр.240-250-260)</t>
  </si>
  <si>
    <t>ПУЛ ОҚИМЛАРИ ТЎҒРИСИДА ҲИСОБОТ - 
4-сонли шакл
ОТЧЕТ О ДЕНЕЖНЫХ ПОТОКАХ - 
форма N 4</t>
  </si>
  <si>
    <t>Кўрсаткичлар номи 
Наименование показателей</t>
  </si>
  <si>
    <t>Сатр
 коди
Код
 стр</t>
  </si>
  <si>
    <t>Кирим
Приход</t>
  </si>
  <si>
    <t>Чиқим
Расход</t>
  </si>
  <si>
    <t>Операцион фаолият / Операционная деятельность</t>
  </si>
  <si>
    <t>Маҳсулот (товар иш ва хизмат) ларни сотишдан келиб тушган пул маблағлари 
Денежные поступления от реализации продукции (товаров, работ и услуг)</t>
  </si>
  <si>
    <t>010</t>
  </si>
  <si>
    <t>Материал товар иш ва хизматлар учун мол етказиб берувчиларга тўланган пул маблағлари 
Денежные выплаты поставщикам за материалы, товары, работы и услуги</t>
  </si>
  <si>
    <t>020</t>
  </si>
  <si>
    <t>Ходимларга ва улар номидан тўланган пул маблағлари 
Денежные платежи персоналу и от их имени</t>
  </si>
  <si>
    <t>030</t>
  </si>
  <si>
    <t>Операцион фаолиятнинг бошқа пул тушумлари ва тўловлари 
Другие денежные поступления и выплаты от операционной деятельности</t>
  </si>
  <si>
    <t>040</t>
  </si>
  <si>
    <t>Жами. операцион фаолиятнинг соф пул кирими/чиқими (сатр 010-020-030+/-040) 
Итого: чистый денежный приток/ отток от операционной деятельности
(стр 010-020-030+/-040)</t>
  </si>
  <si>
    <t>050</t>
  </si>
  <si>
    <t>Инвестиция фаолияти / Инвестиционная деятельность</t>
  </si>
  <si>
    <t>Асосий воситаларни сотиб олиш ва сотиш 
Приобретение и продажа основных средств</t>
  </si>
  <si>
    <t>060</t>
  </si>
  <si>
    <t>Номоддий активларни сотиб олиш ва сотиш 
Приобретение и продажа нематериальных активов</t>
  </si>
  <si>
    <t>070</t>
  </si>
  <si>
    <t>Узоқ ва қиска муддатли инвестицияларни сотиб олиш ва сотиш 
Приобретение и продажа долгосрочных и краткосрочных инвестиций</t>
  </si>
  <si>
    <t>080</t>
  </si>
  <si>
    <t>Инвестицион фаолиятнинг бошқа пул тушумлари ва тўловлари 
Другие денежные поступления и выплаты от инвестиционной деятельности</t>
  </si>
  <si>
    <t>090</t>
  </si>
  <si>
    <t>Жами: инвестицион фаолиятнинг соф пул кирими/чиқими (сатр 060+/-070+/-080+/-090) 
Итого: чистый денежный приток/отток от инвестиционной деятельности (стр.  060+/-070+/-080+/-090)</t>
  </si>
  <si>
    <t>100</t>
  </si>
  <si>
    <t>Молиявий фаолият / Финансовая деятельность</t>
  </si>
  <si>
    <t>Олинган ва тўланган фоизлар 
Полученные и выплаченные проценты</t>
  </si>
  <si>
    <t>110</t>
  </si>
  <si>
    <t>Олинган ва тўланган дивидендлар 
Полученные и выплаченные дивиденды</t>
  </si>
  <si>
    <t>120</t>
  </si>
  <si>
    <t>Акциялар чиқаришдан ёки хусусий капитал билан боғлиқ бўлган бошқа инстументлардан келган пул тушумлари 
Денежные поступления от выпуска акций или других инструментов связанных с собственным капиталом</t>
  </si>
  <si>
    <t>130</t>
  </si>
  <si>
    <t>Хусусий акцияларни сотиб олганда ва уларни сотганда пул тўловлари ва тушумлари
Денежные выплаты и поступления при выкупе и реализации собственных акций</t>
  </si>
  <si>
    <t>140</t>
  </si>
  <si>
    <t>Узоқ ва қисқа муддатли кредит ва қарзлар бўйича пул тушумлари ва тўловлари 
Денежные поступления и выплаты по долгосрочным и краткосрочным кредитам и займам</t>
  </si>
  <si>
    <t>150</t>
  </si>
  <si>
    <t>Узоқ муддатли ижара (лизинг) бўйича пул тушумлари ва тўловлари 
Денежные поступления и платежи по долгосрочной аренде (лизингу)</t>
  </si>
  <si>
    <t>160</t>
  </si>
  <si>
    <t>Молиявий фаолиятнинг бошқа пул тушумлари ва тўловлари 
Другие денежные поступления и выплаты от финансовой деятельности</t>
  </si>
  <si>
    <t>170</t>
  </si>
  <si>
    <t>Жами: молиявий фаолиятнинг соф пул кирими/чиқими (сатр 110+/-120+130-140+/-150+/-160-1-/-170)
Итого: Чистый денежный приток/отток от финансовой деятельности (стр.110+/-120+130-140+/-150+/-160+/-170)</t>
  </si>
  <si>
    <t>180</t>
  </si>
  <si>
    <t>Солиққа тортиш  / Налогообложение</t>
  </si>
  <si>
    <t>Тўланган даромад (фоида) солиғи 
Уплаченный налог на доход (прибыль)</t>
  </si>
  <si>
    <t>190</t>
  </si>
  <si>
    <t>Тўланган бошқа солиқлар 
Уплаченные прочие налоги</t>
  </si>
  <si>
    <t>200</t>
  </si>
  <si>
    <t>Жами тўланган солиқлар (сатр 190+200) 
Итого: уплаченные налоги (стр. 190+200)</t>
  </si>
  <si>
    <t>210</t>
  </si>
  <si>
    <t>Жами молиявий-хўжалик фаолиятининг соф пул кирими/чиқими (сатр 050+/- 100+/- 180-210) 
Итого: чистый денежный приток/отток от финансово-хозяйственной деятельности (стр. 050+/-100+/-180-210)</t>
  </si>
  <si>
    <t>220</t>
  </si>
  <si>
    <t>Чет эл валютасидаги пул маблағларини қайта баҳолашдан юзага келган курс фарқлари сальдоси.
Сальдо курсовых разниц, образовавшихся от переоценки денежных средств в иностранной валюте</t>
  </si>
  <si>
    <t>221</t>
  </si>
  <si>
    <t>Йил бошидаги пул маблағлари 
Денежные средства на начало года</t>
  </si>
  <si>
    <t>230</t>
  </si>
  <si>
    <t>Йил охиридаги пул маблағлари 
Денежные средства на конец года</t>
  </si>
  <si>
    <t>240</t>
  </si>
  <si>
    <t>ЧЕТ ЭЛ ВАЛЮТАСИДАГИ ПУЛ МАБЛАҒЛАРИНИНГ 
ҲАРАКАТИ ТЎҒРИСИДА МАЪЛУМОТ 
СПРАВКА О ДВИЖЕНИИ ДЕНЕЖНЫХ СРЕДСТВ 
В ИНОСТРАННОЙ ВАЛЮТЕ</t>
  </si>
  <si>
    <t>Кўрсаткичлар номи
Наименование показателей</t>
  </si>
  <si>
    <t>Сатр коди
Код стр.</t>
  </si>
  <si>
    <t>Миқдори
Сумма</t>
  </si>
  <si>
    <t>Йил бошига қолдиқ 
Остаток на начало года</t>
  </si>
  <si>
    <t>Келиб тушган валюта маблағлари, жами (сатр 261+262+263+264), шу жумладан 
Поступило валютных средств, всего (стр. 261+262+263+264), в том числе</t>
  </si>
  <si>
    <t>Сотишдан олинган тушум 
Выручка от реализации</t>
  </si>
  <si>
    <t>Конвертация қилинган 
Проконвертировано</t>
  </si>
  <si>
    <t>Молиявий фаолият бўйича 
По финансовой деятельности</t>
  </si>
  <si>
    <t>Бошқа манбалар 
Другие источники</t>
  </si>
  <si>
    <t>Сарфланган валюта маблағлари, жами (сатр 271+272+273), шу жумладан 
Израсходовано валютных средств, всего (стр. 271+272+273), в том числе</t>
  </si>
  <si>
    <t>Мол етказиб берувчилар ва пудратчиларга тўловлар 
Выплаты поставщикам и подрядчикам</t>
  </si>
  <si>
    <t>Молиявий фаолият бўйича тўловлар 
Выплаты по финансовой деятельности</t>
  </si>
  <si>
    <t>Бошқа мақсадлар учун 
На другие цели</t>
  </si>
  <si>
    <t>Чет эл валютасидаги пул маблағларини қайта баҳолашдан юзага келган курс фарқлари сальдоси
Сальдо курсовых разниц, образовавшихся от переоценки денежных средств в иностранной валюте</t>
  </si>
  <si>
    <t>Йил охиридаги қолдиқ (сатр. 250+260-270+/-280)
Остаток на конец года (стр. 250+260-270+/-280)</t>
  </si>
  <si>
    <t>Раҳбар
Руководитель</t>
  </si>
  <si>
    <t>№</t>
  </si>
  <si>
    <t>тыс.сум</t>
  </si>
  <si>
    <t>Наименование</t>
  </si>
  <si>
    <t xml:space="preserve"> местные</t>
  </si>
  <si>
    <t>Себестоимость</t>
  </si>
  <si>
    <t>Чистая прибыль</t>
  </si>
  <si>
    <t>Амортизация</t>
  </si>
  <si>
    <t>Расходы по реализации</t>
  </si>
  <si>
    <t>1.</t>
  </si>
  <si>
    <t>Итого</t>
  </si>
  <si>
    <t>Наименование продукции</t>
  </si>
  <si>
    <t>ФОТ с ЕСП</t>
  </si>
  <si>
    <t>3.1.</t>
  </si>
  <si>
    <t>3.2.</t>
  </si>
  <si>
    <t>Ед. изм.</t>
  </si>
  <si>
    <t>тыс. сум</t>
  </si>
  <si>
    <t>1.1.</t>
  </si>
  <si>
    <t>1.2.</t>
  </si>
  <si>
    <t>3</t>
  </si>
  <si>
    <t>5</t>
  </si>
  <si>
    <t>6</t>
  </si>
  <si>
    <t>7</t>
  </si>
  <si>
    <t>8</t>
  </si>
  <si>
    <t xml:space="preserve">№ </t>
  </si>
  <si>
    <t>2</t>
  </si>
  <si>
    <t>Прочие производственные расходы, из них:</t>
  </si>
  <si>
    <t xml:space="preserve"> Затраты на материалы и комплектующие, в том числе:</t>
  </si>
  <si>
    <t>Всего расходы</t>
  </si>
  <si>
    <t>1.1.1.</t>
  </si>
  <si>
    <t>1.1.2.</t>
  </si>
  <si>
    <t>1.3.</t>
  </si>
  <si>
    <t>1.4.</t>
  </si>
  <si>
    <t>1.4.1.</t>
  </si>
  <si>
    <t>1 квартал</t>
  </si>
  <si>
    <t>2 квартал</t>
  </si>
  <si>
    <t>3 квартал</t>
  </si>
  <si>
    <t>4 квартал</t>
  </si>
  <si>
    <t>График погашение кредитов и займов</t>
  </si>
  <si>
    <t>Курсаткичлар номи 
Наименование показателя</t>
  </si>
  <si>
    <t>Код
стр.</t>
  </si>
  <si>
    <t>хисобот йили
 бошига
На начало 
отчетного года</t>
  </si>
  <si>
    <t>хисобот даври
 охирига
На конец 
отчетного года</t>
  </si>
  <si>
    <t>Фарқи</t>
  </si>
  <si>
    <t>Актив.
 I.Узок муддатли активлар 
I.Долгосрочные активы</t>
  </si>
  <si>
    <t>Асосий воситалар:
Основные средства:</t>
  </si>
  <si>
    <t>бошлангич (кайта тиклаш) киймат (0100, 0300)
по первоначальной (восстановительной) стоимости (0100, 0300)</t>
  </si>
  <si>
    <t>эскириш (0200)
износ (0200)</t>
  </si>
  <si>
    <t>колдик киймат 010-011
остаточная стоимость 010-011</t>
  </si>
  <si>
    <t>Намоддий активлар:
Нематериальные активы:</t>
  </si>
  <si>
    <t>бошлангич киймат (0400)
по первоначальной стоимости (0400)</t>
  </si>
  <si>
    <t>эскириш (0500)
износ (0500)</t>
  </si>
  <si>
    <t>колдик киймат 020-021
остаточная стоимость 020-021</t>
  </si>
  <si>
    <t>Узок муддатли инвестициялар, жами (сатр.040+050+060+070+080), шу жумладан:
Долгосрочные инвестиции, всего (стр.040+050+060+070+080), в том числе:</t>
  </si>
  <si>
    <t>Кимматли когозлар (0610)
Ценные бумаги (0610)</t>
  </si>
  <si>
    <t>Шўъба хўжалик жамиятларига инвестициялар (0620)
Инвестиции в дочерние хозяйственные общества (0620)</t>
  </si>
  <si>
    <t xml:space="preserve">цйу </t>
  </si>
  <si>
    <t xml:space="preserve">Дивидендлар шаклидаги даромадлар 
Доходы в виде дивидендов </t>
  </si>
  <si>
    <t>Молиявий фаолият бўйича бошка аражатлар
Прочие расходы по финансовой деятельности</t>
  </si>
  <si>
    <t>Давр аражатлари, жами  (сатр.050+060+070+080), шу жумладан:
Расходы периода, всего  (стр.050+060+070+080), в том числе:</t>
  </si>
  <si>
    <t>Цена , сум</t>
  </si>
  <si>
    <t>Коэффициент финансовой независимости</t>
  </si>
  <si>
    <t>Остаток на 01.01.2017</t>
  </si>
  <si>
    <t>Кредиты</t>
  </si>
  <si>
    <t>Погашение  основного долга</t>
  </si>
  <si>
    <t>Погашение процентов</t>
  </si>
  <si>
    <t>Итого за 2016 год</t>
  </si>
  <si>
    <t>Ожид</t>
  </si>
  <si>
    <t>Уставный фонд</t>
  </si>
  <si>
    <t>Доля, %</t>
  </si>
  <si>
    <t>дивиденды</t>
  </si>
  <si>
    <t>на развитие</t>
  </si>
  <si>
    <t>резервный фонд</t>
  </si>
  <si>
    <t>Ценные бумаги</t>
  </si>
  <si>
    <t>Сумма инвестиции</t>
  </si>
  <si>
    <t>Дочерные и зависимое предприятие</t>
  </si>
  <si>
    <t>Нераспределенная прибыль на 01.01.2017г.</t>
  </si>
  <si>
    <t>Показатель</t>
  </si>
  <si>
    <t>Удельный вес</t>
  </si>
  <si>
    <t>Рентабельность активов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</si>
  <si>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</si>
  <si>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</si>
  <si>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</si>
  <si>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Дивидендный выход</t>
  </si>
  <si>
    <t xml:space="preserve">Основные средства </t>
  </si>
  <si>
    <t>Нематериальные активы</t>
  </si>
  <si>
    <t>Первоначальная ст-сть</t>
  </si>
  <si>
    <t>на 01.01.2016</t>
  </si>
  <si>
    <t>на 01.01.2017</t>
  </si>
  <si>
    <t>4.1</t>
  </si>
  <si>
    <t>4.2</t>
  </si>
  <si>
    <t>Доп.эмиссия</t>
  </si>
  <si>
    <t>Численность</t>
  </si>
  <si>
    <t>МОЛИЯВИЙ  НАТИЖАЛАР  ТУГРИСИДАГИ  ХИСОБОТ 
2-сонли шакл
ОТЧЕТ  О  ФИНАНСОВЫХ  РЕЗУЛЬТАТАХ
форма №2</t>
  </si>
  <si>
    <t>млн сум</t>
  </si>
  <si>
    <t>Объем платных услуг</t>
  </si>
  <si>
    <t>спирт пищевой</t>
  </si>
  <si>
    <t>тыс л</t>
  </si>
  <si>
    <t>спирт технический</t>
  </si>
  <si>
    <t>тыс гкал</t>
  </si>
  <si>
    <t>-</t>
  </si>
  <si>
    <t xml:space="preserve">Председатель правления </t>
  </si>
  <si>
    <t xml:space="preserve">С.С.Шамшиев </t>
  </si>
  <si>
    <t xml:space="preserve">АО "BIOKIMYO" </t>
  </si>
  <si>
    <t xml:space="preserve">К.А.Хусанов </t>
  </si>
  <si>
    <t>_</t>
  </si>
  <si>
    <t xml:space="preserve">Янгиюльское АО "BIOKIMYO" </t>
  </si>
  <si>
    <t>импорт (конвертация) с учетом растаможки</t>
  </si>
  <si>
    <t>топливо энергетические расходы</t>
  </si>
  <si>
    <t>1.4.2.</t>
  </si>
  <si>
    <t>прочие прямые производственные расходы</t>
  </si>
  <si>
    <t>1.4.3.</t>
  </si>
  <si>
    <t>косвенные затраты на материалы</t>
  </si>
  <si>
    <t>1.4.4.</t>
  </si>
  <si>
    <t>расходы на капитальный ремонт</t>
  </si>
  <si>
    <t>Административные расходы</t>
  </si>
  <si>
    <t>Заработная плата с начислениями</t>
  </si>
  <si>
    <t>Командировочные расходы</t>
  </si>
  <si>
    <t>3.3.</t>
  </si>
  <si>
    <t>Обслуживание здания и ремонт помещений</t>
  </si>
  <si>
    <t>3.4.</t>
  </si>
  <si>
    <t>Расходы на связь</t>
  </si>
  <si>
    <t>3.5.</t>
  </si>
  <si>
    <t>3.6.</t>
  </si>
  <si>
    <t>Содержание легкового автотранспорта</t>
  </si>
  <si>
    <t>3.7.</t>
  </si>
  <si>
    <t>Расходы на оргтехнику, интернет, обновление програм</t>
  </si>
  <si>
    <t>3.8.</t>
  </si>
  <si>
    <t>Почтовые и канцелярские расходы</t>
  </si>
  <si>
    <t>3.9.</t>
  </si>
  <si>
    <t>Содержание вышестоящей организации</t>
  </si>
  <si>
    <t>3.10.</t>
  </si>
  <si>
    <t>Прочие</t>
  </si>
  <si>
    <t>Операционные расходы</t>
  </si>
  <si>
    <t>4.1.</t>
  </si>
  <si>
    <t>Налоги и обязательные платежи</t>
  </si>
  <si>
    <t>4.2.</t>
  </si>
  <si>
    <t>4.3.</t>
  </si>
  <si>
    <t>Амортизация прочих объектов</t>
  </si>
  <si>
    <t>4.4.</t>
  </si>
  <si>
    <t>Услуги депозитария</t>
  </si>
  <si>
    <t>4.5.</t>
  </si>
  <si>
    <t>Аудиторские и консультационные услуги</t>
  </si>
  <si>
    <t>4.6.</t>
  </si>
  <si>
    <t>Социальные выплаты сотрудникам</t>
  </si>
  <si>
    <t>4.7.</t>
  </si>
  <si>
    <t>Подписка на журналы и газеты, приобретение сборников нормативно-правовых актов и международных договоров Республики Узбекистан</t>
  </si>
  <si>
    <t>4.8.</t>
  </si>
  <si>
    <t>Оценка и хранение имущества</t>
  </si>
  <si>
    <t>4.9.</t>
  </si>
  <si>
    <t>Информационные услуги (Рейтер, веб-сайт)</t>
  </si>
  <si>
    <t>4.10.</t>
  </si>
  <si>
    <t>Подготовка кадров</t>
  </si>
  <si>
    <t>4.11.</t>
  </si>
  <si>
    <t>Реклама, выставки, конкурсы, создание новых производств</t>
  </si>
  <si>
    <t>4.12.</t>
  </si>
  <si>
    <t>4.13.</t>
  </si>
  <si>
    <t>Естественная убыль</t>
  </si>
  <si>
    <t>4.14.</t>
  </si>
  <si>
    <t>Содержание садовых участков</t>
  </si>
  <si>
    <t>4.15.</t>
  </si>
  <si>
    <t>Вознаграждение членам правления</t>
  </si>
  <si>
    <t>4.16.</t>
  </si>
  <si>
    <t>Прочие, в том числе:</t>
  </si>
  <si>
    <t>Затраты по социальным объектам</t>
  </si>
  <si>
    <t>Убыток от реализации ТМЦ и ОС</t>
  </si>
  <si>
    <t>Судебные издержки</t>
  </si>
  <si>
    <t>Штрафы и пени</t>
  </si>
  <si>
    <t>Вознаграждение членам наблюдательного совета</t>
  </si>
  <si>
    <t>Всего расходы периода</t>
  </si>
  <si>
    <t>в том числе налоги и отчисление в государст. целевые фонды</t>
  </si>
  <si>
    <t xml:space="preserve">Налог за пользование недрами </t>
  </si>
  <si>
    <t xml:space="preserve">Налог за пользование водными ресурсами </t>
  </si>
  <si>
    <t xml:space="preserve">Налог на имущество юридических лиц </t>
  </si>
  <si>
    <t xml:space="preserve">Земельный налог с юридических лиц </t>
  </si>
  <si>
    <t>Фиксированный налог</t>
  </si>
  <si>
    <t xml:space="preserve">Налог на имущество </t>
  </si>
  <si>
    <t xml:space="preserve">Обязательные отчисления в Республиканский дорожный фонд </t>
  </si>
  <si>
    <t xml:space="preserve">Обязательные отчисления во внебюджетный Пенсионный фонд </t>
  </si>
  <si>
    <t xml:space="preserve">Обязательные отчисления в Фонд школьного образования </t>
  </si>
  <si>
    <t>Налог на землю</t>
  </si>
  <si>
    <t xml:space="preserve">Единый социальный платеж </t>
  </si>
  <si>
    <t xml:space="preserve">Импортные таможенные пошлины </t>
  </si>
  <si>
    <t xml:space="preserve">Сборы в местный бюджет </t>
  </si>
  <si>
    <t>Финансовые санкции за просроченные платежи в бюджет</t>
  </si>
  <si>
    <t>Другие налоги</t>
  </si>
  <si>
    <t xml:space="preserve">Налог на доходы (прибыль) / Единый налоговый платеж </t>
  </si>
  <si>
    <t>Налог на сверхприбыль</t>
  </si>
  <si>
    <t xml:space="preserve">Налог на благоустройство и развитие социальной инфраструктуры </t>
  </si>
  <si>
    <t>Услуги банка</t>
  </si>
  <si>
    <t>Спирт пищевой. в том числе</t>
  </si>
  <si>
    <t>Высшая очистка</t>
  </si>
  <si>
    <t>Экстра</t>
  </si>
  <si>
    <t>Люкс</t>
  </si>
  <si>
    <t>Спирт технический</t>
  </si>
  <si>
    <t>Пар технологический</t>
  </si>
  <si>
    <t>Барда жидкая</t>
  </si>
  <si>
    <t>тыс тн</t>
  </si>
  <si>
    <t>Газы бражения</t>
  </si>
  <si>
    <t>Спирт пищевой(тыс л)</t>
  </si>
  <si>
    <t>Пар технологический (тыс гкал)</t>
  </si>
  <si>
    <t>Барда жидкая (тыс тн)</t>
  </si>
  <si>
    <t>Газы бражения (тыс тн)</t>
  </si>
  <si>
    <t>АОТБ Кишлок курилиш банк</t>
  </si>
  <si>
    <t>Остаток на 01.01.2016</t>
  </si>
  <si>
    <t>ноябрь-декабрь</t>
  </si>
  <si>
    <t>март</t>
  </si>
  <si>
    <t>Обучение по промышленной безопасности</t>
  </si>
  <si>
    <t>Ответственный за безопасное производство работ технологических трубопроводов</t>
  </si>
  <si>
    <t>4.3</t>
  </si>
  <si>
    <t>Прибыль 2016 года</t>
  </si>
  <si>
    <t>тыс сум</t>
  </si>
  <si>
    <t>Мехр шавкат фонди-б/ спорт</t>
  </si>
  <si>
    <t>Болалар спортини ривожлантириш жамгармаси</t>
  </si>
  <si>
    <t>Навбахор СК ФК</t>
  </si>
  <si>
    <t>Андижон Ягона Буюртмачи</t>
  </si>
  <si>
    <t>Усимликшун. илмий институти</t>
  </si>
  <si>
    <t>письмо№10/1179 от 24.06.15г, ХК Узвинпром-Холдинг  , протол № 3</t>
  </si>
  <si>
    <t>Узб. спорт  курашлари ассоциацияси</t>
  </si>
  <si>
    <t>Пахтакор ФК</t>
  </si>
  <si>
    <t>2015г.
(факт)</t>
  </si>
  <si>
    <t>чел</t>
  </si>
  <si>
    <t>2015г.
(Факт)</t>
  </si>
  <si>
    <t>Спонсорская и благотворительная помощь</t>
  </si>
  <si>
    <t>в существующих условиях, млн.сум</t>
  </si>
  <si>
    <t>с учетом снижения себестоимости, млн.сум</t>
  </si>
  <si>
    <t>АК "Узспиртсаноат"</t>
  </si>
  <si>
    <t>Физические лица и другие юридические лица</t>
  </si>
  <si>
    <t>Чистая прибыль за 2016г</t>
  </si>
  <si>
    <t xml:space="preserve">График погашение кредитов и займов по Янгиюльскому АО "BIOKIMYO" </t>
  </si>
  <si>
    <t>Приложение №16</t>
  </si>
  <si>
    <t>Курс иновалюты на начало года</t>
  </si>
  <si>
    <t>Ожидаемые курс иновалюты на конец года</t>
  </si>
  <si>
    <t>в иновалюте</t>
  </si>
  <si>
    <t>в тыс.сумах</t>
  </si>
  <si>
    <t>Переоценка (31 счет)</t>
  </si>
  <si>
    <t>Основной долг</t>
  </si>
  <si>
    <t>Начислен. проценты</t>
  </si>
  <si>
    <t>Курс на дату оплату</t>
  </si>
  <si>
    <t>Переоценка                    (31 счет)</t>
  </si>
  <si>
    <t>Получение кредита  год</t>
  </si>
  <si>
    <t>2014 год</t>
  </si>
  <si>
    <t>АО "BIOKIMYO"</t>
  </si>
  <si>
    <t>КАЛЬКУЛЯЦИЯ</t>
  </si>
  <si>
    <t xml:space="preserve">на производство спирта пищевого на 1000 дал по Янгиюльскому АО "BIOKIMYO" </t>
  </si>
  <si>
    <t>Наименование детели</t>
  </si>
  <si>
    <t>Норма расхода</t>
  </si>
  <si>
    <t>Цена 
(сум)</t>
  </si>
  <si>
    <t>Сумма (сум)</t>
  </si>
  <si>
    <t>Доля в себестоимости</t>
  </si>
  <si>
    <t>Материалы в т.ч.:</t>
  </si>
  <si>
    <t>Импортные материалы</t>
  </si>
  <si>
    <t>Местные материалы</t>
  </si>
  <si>
    <t>Пшеница</t>
  </si>
  <si>
    <t>кг</t>
  </si>
  <si>
    <t>Термалаза</t>
  </si>
  <si>
    <t>Глюкозид</t>
  </si>
  <si>
    <t>Пролайв</t>
  </si>
  <si>
    <t>Вискостар L</t>
  </si>
  <si>
    <t>Нобак или Бетасепт</t>
  </si>
  <si>
    <t>Серная кислота</t>
  </si>
  <si>
    <t>Гипохлорид</t>
  </si>
  <si>
    <t>Карбамид</t>
  </si>
  <si>
    <t>Формалин</t>
  </si>
  <si>
    <t>Пеногаситель</t>
  </si>
  <si>
    <t>Производственные отходы</t>
  </si>
  <si>
    <t>сум</t>
  </si>
  <si>
    <t>Комплектующие в т.ч.:</t>
  </si>
  <si>
    <t>Импортные комплектующие</t>
  </si>
  <si>
    <t>шт</t>
  </si>
  <si>
    <t>Местные комплектующие</t>
  </si>
  <si>
    <t>Всего затраты на материалы и комплектующие</t>
  </si>
  <si>
    <t>Расходы на коммунальные услуги, из них:</t>
  </si>
  <si>
    <t>Электроэнергия</t>
  </si>
  <si>
    <t>кВт/ч</t>
  </si>
  <si>
    <t>Теплоэнергия</t>
  </si>
  <si>
    <t>гкал</t>
  </si>
  <si>
    <t>Вода</t>
  </si>
  <si>
    <t>м3</t>
  </si>
  <si>
    <t>Химически очищенная вода</t>
  </si>
  <si>
    <t>Вода оборотная</t>
  </si>
  <si>
    <t>тыс м3</t>
  </si>
  <si>
    <t>Прочие производственные издержки</t>
  </si>
  <si>
    <t>Амортизация зданий, сооружений, оборудования и оснасток используемые для производства локализуемой продукции</t>
  </si>
  <si>
    <t>Расходы на оборудование, инструменты, смазочные материалы</t>
  </si>
  <si>
    <t>Таможенные сборы и оформление</t>
  </si>
  <si>
    <t>Услуга сторонных организаций по кооперации</t>
  </si>
  <si>
    <t>Сертификация, испытания и лаборатория</t>
  </si>
  <si>
    <t>Прочие прямые производственные издержки</t>
  </si>
  <si>
    <t>Зарплата производственного персонала с ЕСП</t>
  </si>
  <si>
    <t>Итого производственная себестоимость:</t>
  </si>
  <si>
    <t>Затраты на управление, из них:</t>
  </si>
  <si>
    <t>плата узлам связи за аренду, предоставление услуг, передачу данных, (АТС, мобильная, спутниковая, междугородные и международные телефонные переговоры, Интернет).</t>
  </si>
  <si>
    <t>Прочие расходы</t>
  </si>
  <si>
    <t>Расходы по реализации, из них:</t>
  </si>
  <si>
    <t>затраты по отгрузки товаров</t>
  </si>
  <si>
    <t xml:space="preserve">затраты на рекламу и изучения рынка сбыта </t>
  </si>
  <si>
    <t>Прочие операционные расходы, из них:</t>
  </si>
  <si>
    <t>платежи в бюджет и государственные целевые фонды</t>
  </si>
  <si>
    <t xml:space="preserve">затраты на освоение производств, цехов, агрегатов в целях увеличения уровня локализации </t>
  </si>
  <si>
    <t>услуга банков и другие</t>
  </si>
  <si>
    <t>Расходы по финансовой деятельности</t>
  </si>
  <si>
    <t>Расходы по налогам от прибыли</t>
  </si>
  <si>
    <t>Чистая прибыль (Рентабельность)</t>
  </si>
  <si>
    <t>Договорная цена без НДС</t>
  </si>
  <si>
    <t>Акциз</t>
  </si>
  <si>
    <t xml:space="preserve">Договорная цена с НДС </t>
  </si>
  <si>
    <t>Распределение чистой прибыли</t>
  </si>
  <si>
    <t>Основ-ной долг</t>
  </si>
  <si>
    <t>в тыс.сум</t>
  </si>
  <si>
    <t>Основные технико-экономические показатели</t>
  </si>
  <si>
    <t>№№</t>
  </si>
  <si>
    <t>Ед.              изм.</t>
  </si>
  <si>
    <t>В том числе по кварталам:</t>
  </si>
  <si>
    <t>I</t>
  </si>
  <si>
    <t>II</t>
  </si>
  <si>
    <t>III</t>
  </si>
  <si>
    <t>IV</t>
  </si>
  <si>
    <t>Объем продукции (работ, услуг) в оптовых ценах предприятий без НДС и акциза: в сопостовимых ценах</t>
  </si>
  <si>
    <t>в соответствующих ценах соответствующего года</t>
  </si>
  <si>
    <t>Из общего объема продукции (работ, услуг) - продукция кооперативов, малых и совместных предприятий</t>
  </si>
  <si>
    <t>Потребительские товары (включая стоимость винноводочных изделий) без НДС</t>
  </si>
  <si>
    <t>Производство пролмышленной продукции в натуральном выражении:</t>
  </si>
  <si>
    <t>Спирт пищевой</t>
  </si>
  <si>
    <t>т.дал</t>
  </si>
  <si>
    <t>т.Гкал</t>
  </si>
  <si>
    <t>Заготовка на промпереработку:</t>
  </si>
  <si>
    <t>Пщеница</t>
  </si>
  <si>
    <t>ЭАФ</t>
  </si>
  <si>
    <t>т.тн</t>
  </si>
  <si>
    <t>Производственные мощности по производству - всего</t>
  </si>
  <si>
    <t>%</t>
  </si>
  <si>
    <t>Поставка  продукции на экспорт - всего                                                                                                  в т.ч. в натуральном выражении</t>
  </si>
  <si>
    <t>тыс.долл США</t>
  </si>
  <si>
    <t xml:space="preserve">Из общего объема экспортной поставки-централизованный экспорт.                                               В т.ч. натуральным выражении      </t>
  </si>
  <si>
    <t>Продажа Центральному банку валюты</t>
  </si>
  <si>
    <t>Капитальные вложения-всего:</t>
  </si>
  <si>
    <t>В т.ч. за счет собственных средств</t>
  </si>
  <si>
    <t>За счет иностранных инвестиций</t>
  </si>
  <si>
    <t>Ввод в действие производственных мощностей</t>
  </si>
  <si>
    <t>Численность - всего:</t>
  </si>
  <si>
    <t>чел.</t>
  </si>
  <si>
    <t>в т.ч. основной деятельности</t>
  </si>
  <si>
    <t xml:space="preserve">Из них: рабочие </t>
  </si>
  <si>
    <t>служащие</t>
  </si>
  <si>
    <t>не основная деятельность</t>
  </si>
  <si>
    <t>Из общей численности - Административно-управленческий персонал</t>
  </si>
  <si>
    <t>Фонд заработной платы работников (включая совместителей)</t>
  </si>
  <si>
    <t>Фонд заработной платы работников списочного состава</t>
  </si>
  <si>
    <t>Производительность труда</t>
  </si>
  <si>
    <t>Среднемесячная заработная плата на одного работающего</t>
  </si>
  <si>
    <t>Выручка от реализации продукции</t>
  </si>
  <si>
    <t>Налог на добавленную стоимость</t>
  </si>
  <si>
    <t>Чистая выручка от реализации</t>
  </si>
  <si>
    <t>Производственная себестоимость реализованной продукции, товаров, работ, услуг</t>
  </si>
  <si>
    <t>Валовой финансовый результат от реализации</t>
  </si>
  <si>
    <t>Расходы периода. Всего</t>
  </si>
  <si>
    <t>Расходы на реализацию</t>
  </si>
  <si>
    <t xml:space="preserve">Прочие операционные расходы </t>
  </si>
  <si>
    <t>Финансовый результат (прибыль или убыток) от основной производственной деятельности</t>
  </si>
  <si>
    <t xml:space="preserve">Дивиденды, полученные от дочерних и ассоциированных предприятий </t>
  </si>
  <si>
    <t>Доходы от долгосрочной аренды</t>
  </si>
  <si>
    <t>Доходы от валютных курсовых разниц</t>
  </si>
  <si>
    <t xml:space="preserve">Расходы по финансовой деятельности, в виде процентов </t>
  </si>
  <si>
    <t>Убытки от валютных курсовых разниц</t>
  </si>
  <si>
    <t>Финансовый результат (прибыль или убыток) от общехозяйственной деятельности</t>
  </si>
  <si>
    <t>Прочие прибыль и убыток</t>
  </si>
  <si>
    <t xml:space="preserve">Общий финансовый результат (прибыль или убыток) до уплаты налога на прибыль </t>
  </si>
  <si>
    <t>Налог на прибыль</t>
  </si>
  <si>
    <t>Прочие налоги и отчисления, не входящие в вышеперечисленные статьи</t>
  </si>
  <si>
    <t>Остаток собственного капитала на начало года</t>
  </si>
  <si>
    <t>Прирост собственного капитала</t>
  </si>
  <si>
    <t>Эмиссия ценных бумаг</t>
  </si>
  <si>
    <t>Отчисления в резерв</t>
  </si>
  <si>
    <t>Прибыль текущего года</t>
  </si>
  <si>
    <t>Остаток на конец отчетного года</t>
  </si>
  <si>
    <t>Прочие доходы от основной .деятельности</t>
  </si>
  <si>
    <t>АК "УЗСПИРТСАНОАТ"</t>
  </si>
  <si>
    <t xml:space="preserve"> "Одобрен"</t>
  </si>
  <si>
    <t>Наблюдательным Советом</t>
  </si>
  <si>
    <t>Председатель Наблюдательного Совета</t>
  </si>
  <si>
    <t xml:space="preserve">    ___________________ </t>
  </si>
  <si>
    <t>Э.К. Уралов</t>
  </si>
  <si>
    <t>БИЗНЕС-ПЛАН</t>
  </si>
  <si>
    <t>ЭКОНОМИЧЕСКОГО И СОЦИАЛЬНОГО</t>
  </si>
  <si>
    <t>РАЗВИТИЯ ПРОМЫШЛЕННОГО ПРЕДПРИЯТИЯ</t>
  </si>
  <si>
    <t>по АО "BIOKIMYO"</t>
  </si>
  <si>
    <t>Размещение акций</t>
  </si>
  <si>
    <t>Количество акций</t>
  </si>
  <si>
    <t>Сумма (тыс.сум)</t>
  </si>
  <si>
    <t>Всего акций</t>
  </si>
  <si>
    <t>В том числе по долям:</t>
  </si>
  <si>
    <t xml:space="preserve">   АК "Узспиртсаноат"</t>
  </si>
  <si>
    <t xml:space="preserve">Утвержден на Общем </t>
  </si>
  <si>
    <t>собрании акционеров</t>
  </si>
  <si>
    <t>г.Янгиюль</t>
  </si>
  <si>
    <t>Годовой объем выпуска</t>
  </si>
  <si>
    <t>Статьи затраты</t>
  </si>
  <si>
    <t>Необходи- мая прибыль</t>
  </si>
  <si>
    <t>Рента -бельность в %</t>
  </si>
  <si>
    <t>Договорная оптовая цена</t>
  </si>
  <si>
    <t>НДС</t>
  </si>
  <si>
    <t>Отпускная цена</t>
  </si>
  <si>
    <t>Прямые затраты на материалы</t>
  </si>
  <si>
    <t>Прямые затраты на труд</t>
  </si>
  <si>
    <t>Прочие прямые производ-ственные затраты</t>
  </si>
  <si>
    <t>Накладные расходы</t>
  </si>
  <si>
    <t>Итого производ-ственная себестоимость</t>
  </si>
  <si>
    <t>Косвенные затраты на материалы</t>
  </si>
  <si>
    <t>Косвенные затраты на труд</t>
  </si>
  <si>
    <t>амортиза-ция основных фондов</t>
  </si>
  <si>
    <t>расходы на капиталь-ный и текущий ремонт</t>
  </si>
  <si>
    <t xml:space="preserve">Спирт пищевой  всего  </t>
  </si>
  <si>
    <t>дал</t>
  </si>
  <si>
    <t>Пар технолог.</t>
  </si>
  <si>
    <t>Гкал</t>
  </si>
  <si>
    <t>Газы брожения</t>
  </si>
  <si>
    <t>ИТОГО:</t>
  </si>
  <si>
    <t>год</t>
  </si>
  <si>
    <t>Председатель правления</t>
  </si>
  <si>
    <t xml:space="preserve">      АО "BIOKIMYO" </t>
  </si>
  <si>
    <t>Расшифровка чистой прибыли</t>
  </si>
  <si>
    <t>Дивиденты</t>
  </si>
  <si>
    <t>Погашение долгосрочного кредита</t>
  </si>
  <si>
    <t>Модернизация и реконструкция производства</t>
  </si>
  <si>
    <t>Итого:</t>
  </si>
  <si>
    <t>С.С.ШАМШИЕВ</t>
  </si>
  <si>
    <t>К.А.ХУСАНОВ</t>
  </si>
  <si>
    <t>____________________</t>
  </si>
  <si>
    <t>_____________</t>
  </si>
  <si>
    <t xml:space="preserve">                "Согласовано"</t>
  </si>
  <si>
    <t>" Утверждаю"</t>
  </si>
  <si>
    <t>Председатель профкома АО "BIOKIMYO"</t>
  </si>
  <si>
    <t>Председатель правления АО "BIOKIMYO"</t>
  </si>
  <si>
    <t xml:space="preserve">                       Б.Н.Ишматов</t>
  </si>
  <si>
    <t xml:space="preserve">   </t>
  </si>
  <si>
    <t>С.С.Шамшиев</t>
  </si>
  <si>
    <t>"       "                                  2013г</t>
  </si>
  <si>
    <t>"          "_______________2013г</t>
  </si>
  <si>
    <t>2015г</t>
  </si>
  <si>
    <t xml:space="preserve">Фонд на охрану труда </t>
  </si>
  <si>
    <t>№ п\п</t>
  </si>
  <si>
    <t>Наименование мероприятий</t>
  </si>
  <si>
    <t>Прогноз                   на 2016 год</t>
  </si>
  <si>
    <t>в том числе по кварталам</t>
  </si>
  <si>
    <t>I.</t>
  </si>
  <si>
    <t>Оборудование рабочих мест в соответствии с требованиями правил и  норм охраны труда  и техники безопасности</t>
  </si>
  <si>
    <t>II.</t>
  </si>
  <si>
    <t>Улучшение условий труда и создание условий для безопасного и эффективного труда , обучение ( повышение квалификации) работников по охране труда</t>
  </si>
  <si>
    <t>III.</t>
  </si>
  <si>
    <t>Предупреждение несчастных случаев на производстве(страхование)</t>
  </si>
  <si>
    <t>1.Страхование работников</t>
  </si>
  <si>
    <t>IV.</t>
  </si>
  <si>
    <t>Предупреждение профэаболеваний</t>
  </si>
  <si>
    <t>1.Приобретение медикаментов для аптечек  для оказания первой помощи работникам и вакцинация против гриппа</t>
  </si>
  <si>
    <t>2.Приобретение вакцины против гриппа</t>
  </si>
  <si>
    <t>3.Переодический медосмотр работников предприятия</t>
  </si>
  <si>
    <t>V.</t>
  </si>
  <si>
    <t>Всего по предприятию:</t>
  </si>
  <si>
    <t>Доля затрат на фонд на охрану труда от чистой прибыли, в %</t>
  </si>
  <si>
    <t>К.А.Хусанов</t>
  </si>
  <si>
    <t>Б.Исраилова</t>
  </si>
  <si>
    <t>Прямые производственные затраты</t>
  </si>
  <si>
    <t>№     п/п</t>
  </si>
  <si>
    <t xml:space="preserve">       Статьи  затрат</t>
  </si>
  <si>
    <t>Содержание противопожарной,</t>
  </si>
  <si>
    <t>вневедомственной,ВОХР предприятия:</t>
  </si>
  <si>
    <t>.в том числе</t>
  </si>
  <si>
    <t>Сигнализация оружейной</t>
  </si>
  <si>
    <t xml:space="preserve"> ВОХР предприятия:</t>
  </si>
  <si>
    <t>Содержание ВЧПБ - 19 :</t>
  </si>
  <si>
    <t>Затраты на содержание фондов</t>
  </si>
  <si>
    <t>природоохранного назначения</t>
  </si>
  <si>
    <t>Затраты на содержание</t>
  </si>
  <si>
    <t>чистоты и  порядка на произ-ве</t>
  </si>
  <si>
    <t>Стоимость спецпитания и</t>
  </si>
  <si>
    <t>форменной одежды</t>
  </si>
  <si>
    <t>Командировочные</t>
  </si>
  <si>
    <t>Общезаводские расходы: вода</t>
  </si>
  <si>
    <t xml:space="preserve">    электроэнергия</t>
  </si>
  <si>
    <t xml:space="preserve">     пар</t>
  </si>
  <si>
    <t xml:space="preserve"> Стоки</t>
  </si>
  <si>
    <t>Страхование</t>
  </si>
  <si>
    <t>Больничные</t>
  </si>
  <si>
    <t>Услуги связи</t>
  </si>
  <si>
    <t xml:space="preserve">Аренда оборудования </t>
  </si>
  <si>
    <t>Итого производственные затраты</t>
  </si>
  <si>
    <t xml:space="preserve">                                      Председатель правления                                          С.С.Шамшиев</t>
  </si>
  <si>
    <t xml:space="preserve">                                              АО "BIOKIMYO"</t>
  </si>
  <si>
    <t>Наименование налогов</t>
  </si>
  <si>
    <t>1.Налог на имущество .  в том числе</t>
  </si>
  <si>
    <r>
      <t>налог на имущество 4%</t>
    </r>
  </si>
  <si>
    <t>2.Налог на землю</t>
  </si>
  <si>
    <t>16,2559 га площадь стар.завода + 0,144га профком,столовая</t>
  </si>
  <si>
    <t>16,3999 х 6803053сум=111569,4 тыс сум</t>
  </si>
  <si>
    <t>10,9232га - ПЭСЗ и очист. сооружения</t>
  </si>
  <si>
    <t>6,28 га-льготное  налогооблож.очист.сооруж.</t>
  </si>
  <si>
    <t>8.2 га уч Артыкова к налогообложению 6 га</t>
  </si>
  <si>
    <t>18.58 га уч Артыкова к налогообложению 15.83 га</t>
  </si>
  <si>
    <t>3.Налог на  воду</t>
  </si>
  <si>
    <t xml:space="preserve">4.Очисление Республ.дорож.фонд </t>
  </si>
  <si>
    <t>5.Фонд реконструкции , капремонта и оснащения образовательных учреждений</t>
  </si>
  <si>
    <t>6.От объёма реализации</t>
  </si>
  <si>
    <t xml:space="preserve">Всего налогов </t>
  </si>
  <si>
    <t>Дата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</si>
  <si>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</si>
  <si>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</si>
  <si>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</si>
  <si>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</si>
  <si>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</si>
  <si>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</si>
  <si>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</si>
  <si>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</si>
  <si>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</si>
  <si>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СПРАВКА</t>
  </si>
  <si>
    <t xml:space="preserve">о расходах периода </t>
  </si>
  <si>
    <t xml:space="preserve">Статьи затрат </t>
  </si>
  <si>
    <t>В том числе по кварталам</t>
  </si>
  <si>
    <t>2.</t>
  </si>
  <si>
    <t>Расходы периода</t>
  </si>
  <si>
    <t>в том числе:</t>
  </si>
  <si>
    <t>2.1.</t>
  </si>
  <si>
    <t>2.1.1.</t>
  </si>
  <si>
    <t>з/плата склада пищевого спира</t>
  </si>
  <si>
    <t>2.1.2.</t>
  </si>
  <si>
    <t>отчисление 25%</t>
  </si>
  <si>
    <t>2.1.3.</t>
  </si>
  <si>
    <t>аммортизация склада</t>
  </si>
  <si>
    <t>2.1.4.</t>
  </si>
  <si>
    <t>текущие затраты на ремонт ( услуги цехов )</t>
  </si>
  <si>
    <t>2.1.5.</t>
  </si>
  <si>
    <t>затраты на электроэнергию</t>
  </si>
  <si>
    <t>2.1.6.</t>
  </si>
  <si>
    <t>затраты на  рекламу. объявления</t>
  </si>
  <si>
    <t>2.1.7.</t>
  </si>
  <si>
    <t>затраты по технике безопасности</t>
  </si>
  <si>
    <t>2.1.8.</t>
  </si>
  <si>
    <t xml:space="preserve">больничные </t>
  </si>
  <si>
    <t>2.1.9.</t>
  </si>
  <si>
    <t>м олоко,спец.одежда</t>
  </si>
  <si>
    <t>2.1.10.</t>
  </si>
  <si>
    <t>тех.обслуживан.пожарной сигнализации</t>
  </si>
  <si>
    <t>2.1.11.</t>
  </si>
  <si>
    <t>услуги  связи</t>
  </si>
  <si>
    <t>2.1.12.</t>
  </si>
  <si>
    <t>испытание ГРУ</t>
  </si>
  <si>
    <t>2.1.13.</t>
  </si>
  <si>
    <t>услуги  сторон.организаций.метрология</t>
  </si>
  <si>
    <t>2.1.14.</t>
  </si>
  <si>
    <t>страхование имущества</t>
  </si>
  <si>
    <t>Итого по статье 2.1.</t>
  </si>
  <si>
    <t>2.2.</t>
  </si>
  <si>
    <t>2.2.1.</t>
  </si>
  <si>
    <t>зарплата АУП</t>
  </si>
  <si>
    <t>2.2.2.</t>
  </si>
  <si>
    <t>отчисления на соц.страх 25%</t>
  </si>
  <si>
    <t>2.2.3.</t>
  </si>
  <si>
    <t>затраты на содержание служебного легкового транспорта  -з/плата,ГСМ,ремонт,амортизация,</t>
  </si>
  <si>
    <t>2.2.4..</t>
  </si>
  <si>
    <t>оплата  сотовой связи,модема</t>
  </si>
  <si>
    <t>2.2.5.</t>
  </si>
  <si>
    <t>оплата междугородних и международных телефонных перегаворов 0,3% от реализации</t>
  </si>
  <si>
    <t>2.2.6.</t>
  </si>
  <si>
    <t xml:space="preserve">затраты на содержание и ремонт АУ </t>
  </si>
  <si>
    <t>2.2.7.</t>
  </si>
  <si>
    <t>отчисления АК "Узспиртсаноат"</t>
  </si>
  <si>
    <t>2.2.8.</t>
  </si>
  <si>
    <t>затраты на командировки АУП</t>
  </si>
  <si>
    <t>2.2.9.</t>
  </si>
  <si>
    <t>услуги сторон.орган</t>
  </si>
  <si>
    <t>2.2.10.</t>
  </si>
  <si>
    <t xml:space="preserve">услуги  1- с бухгал. обновление Норма  </t>
  </si>
  <si>
    <t>2.2.11.</t>
  </si>
  <si>
    <t>амортизация  адм.здания</t>
  </si>
  <si>
    <t>2.2.12.</t>
  </si>
  <si>
    <t>тех,обсл пожарн.сигнализац</t>
  </si>
  <si>
    <t>2.2.13.</t>
  </si>
  <si>
    <t>обслуживание оргтехники</t>
  </si>
  <si>
    <t>2.2.14.</t>
  </si>
  <si>
    <t>почтовые расходы</t>
  </si>
  <si>
    <t>2.2.15.</t>
  </si>
  <si>
    <t>обучение</t>
  </si>
  <si>
    <t>2.2.16.</t>
  </si>
  <si>
    <t>2.2.17.</t>
  </si>
  <si>
    <t>электроэнергия</t>
  </si>
  <si>
    <t>2.2.18.</t>
  </si>
  <si>
    <t>облицовка фасада административного здания</t>
  </si>
  <si>
    <t>Итого по статье 2.2.</t>
  </si>
  <si>
    <t>2.3.</t>
  </si>
  <si>
    <t>Прочие операционные расходы</t>
  </si>
  <si>
    <t>2.3.1.</t>
  </si>
  <si>
    <t>расх.на подготовку и переподгот.ку кадров за исключ.кадров по вновь вводимым объектам 2% от ФЗП</t>
  </si>
  <si>
    <t>2.3.2.</t>
  </si>
  <si>
    <t>оплата аудиторских услуг</t>
  </si>
  <si>
    <t>2.3.3.</t>
  </si>
  <si>
    <r>
      <t xml:space="preserve">затраты на выполнение работ, не связанных с производством (благоустройство города, </t>
    </r>
    <r>
      <rPr>
        <b/>
        <sz val="10"/>
        <rFont val="Arial Cyr"/>
        <family val="0"/>
      </rPr>
      <t>помощь сельскому хозяйству</t>
    </r>
    <r>
      <rPr>
        <sz val="10"/>
        <rFont val="Arial Cyr"/>
        <family val="0"/>
      </rPr>
      <t>.</t>
    </r>
    <r>
      <rPr>
        <b/>
        <sz val="10"/>
        <rFont val="Arial Cyr"/>
        <family val="0"/>
      </rPr>
      <t>субботники</t>
    </r>
    <r>
      <rPr>
        <sz val="10"/>
        <rFont val="Arial Cyr"/>
        <family val="0"/>
      </rPr>
      <t>)  с соц отчислениями</t>
    </r>
  </si>
  <si>
    <t>2.3.4.</t>
  </si>
  <si>
    <t>единовременные премии и вознаграждения с соц отчислениями</t>
  </si>
  <si>
    <t>2.3.5.</t>
  </si>
  <si>
    <t>трудовое соглашения</t>
  </si>
  <si>
    <t>2.3.6.</t>
  </si>
  <si>
    <t>заработная плата рабочим и специалистам во время их обучения с отрывом от работы в системе повышения квалификации и переподготовки- ученический</t>
  </si>
  <si>
    <t>2.3.7.</t>
  </si>
  <si>
    <t>выдача подарков хлопкоробам</t>
  </si>
  <si>
    <t>2.3.8.</t>
  </si>
  <si>
    <t>выдача бесплатно работникам товаров, продукции .мат пом на сельхоз продукцию</t>
  </si>
  <si>
    <t>2.3.9.</t>
  </si>
  <si>
    <r>
      <t>возмещение расходов работников (</t>
    </r>
    <r>
      <rPr>
        <b/>
        <sz val="10"/>
        <rFont val="Arial Cyr"/>
        <family val="0"/>
      </rPr>
      <t>питание хлопкоробам</t>
    </r>
    <r>
      <rPr>
        <sz val="10"/>
        <rFont val="Arial Cyr"/>
        <family val="0"/>
      </rPr>
      <t>, путевки на лечение, отдых, физкультурные мероприятия, подписка и другие)станц,лечение</t>
    </r>
  </si>
  <si>
    <t>2.3.10.</t>
  </si>
  <si>
    <t>расходы по выплате ежемячная пособия по уходу за ребенком до 2-х лет в соответствии с законом</t>
  </si>
  <si>
    <t>2.3.11.</t>
  </si>
  <si>
    <t>выплаты работникам, высвобождаемым в связи с реорганизацией, сокращением численности</t>
  </si>
  <si>
    <t>2.3.12.</t>
  </si>
  <si>
    <t>материальная помощь</t>
  </si>
  <si>
    <t>2.3.13.</t>
  </si>
  <si>
    <t>пособие уходящим на пенсию с соц отчислениями</t>
  </si>
  <si>
    <t>2.3.14.</t>
  </si>
  <si>
    <t>вонаграждение к юбилейной дате с соц отчислениями</t>
  </si>
  <si>
    <t>2.3.15.</t>
  </si>
  <si>
    <t>пособие на погребение</t>
  </si>
  <si>
    <t>2.3.16.</t>
  </si>
  <si>
    <r>
      <t xml:space="preserve">затраты на содержание объектов </t>
    </r>
    <r>
      <rPr>
        <b/>
        <sz val="10"/>
        <rFont val="Arial Cyr"/>
        <family val="0"/>
      </rPr>
      <t>здравоохранения,</t>
    </r>
    <r>
      <rPr>
        <sz val="10"/>
        <rFont val="Arial Cyr"/>
        <family val="0"/>
      </rPr>
      <t xml:space="preserve"> жилищного фонда (включая амортизацию и проведение всех видов ремонта)</t>
    </r>
  </si>
  <si>
    <t>2.3.17.</t>
  </si>
  <si>
    <r>
      <t xml:space="preserve">оплата услуг </t>
    </r>
    <r>
      <rPr>
        <b/>
        <sz val="10"/>
        <rFont val="Arial Cyr"/>
        <family val="0"/>
      </rPr>
      <t>банка</t>
    </r>
  </si>
  <si>
    <t>2.3.18.</t>
  </si>
  <si>
    <t>налог на изношенное оборудование</t>
  </si>
  <si>
    <t>2.3.19.</t>
  </si>
  <si>
    <t>кадастровые документы</t>
  </si>
  <si>
    <t>2.3.20.</t>
  </si>
  <si>
    <t>консалтинговые услуги</t>
  </si>
  <si>
    <t>2.3.21.</t>
  </si>
  <si>
    <t>услуги депозитария</t>
  </si>
  <si>
    <t>2.3.22.</t>
  </si>
  <si>
    <t>услуги по биржевому листингу</t>
  </si>
  <si>
    <t xml:space="preserve">списание на издержки производства,  ОС                                                                   </t>
  </si>
  <si>
    <t>2.3.23.</t>
  </si>
  <si>
    <t>благотворительная помощь</t>
  </si>
  <si>
    <t>2.3.24.</t>
  </si>
  <si>
    <t>асфальтирование дорог</t>
  </si>
  <si>
    <t>2.3.25.</t>
  </si>
  <si>
    <r>
      <t xml:space="preserve">обязательные платежи </t>
    </r>
    <r>
      <rPr>
        <sz val="10"/>
        <rFont val="Arial Cyr"/>
        <family val="0"/>
      </rPr>
      <t>в бюджет, налоги сборы, отчисления в специальные внебюджетные фонды согласно законадательства</t>
    </r>
  </si>
  <si>
    <t>в том числе: налог на имущество</t>
  </si>
  <si>
    <t xml:space="preserve">      налог на землю</t>
  </si>
  <si>
    <t xml:space="preserve">      налог на воду</t>
  </si>
  <si>
    <t xml:space="preserve">      отчисление в Респуб. дорожый фонд</t>
  </si>
  <si>
    <t xml:space="preserve">      Фонд реконструкции,капремонта и             оснащения образовательных  учреждений</t>
  </si>
  <si>
    <t xml:space="preserve">      налог от реализации</t>
  </si>
  <si>
    <t>2.3.26.</t>
  </si>
  <si>
    <t>отчисление за сбросы и выбросы</t>
  </si>
  <si>
    <t>2.3.27.</t>
  </si>
  <si>
    <t>2.3.28.</t>
  </si>
  <si>
    <t>культ.массов,мероприятие(новогодние подарки)</t>
  </si>
  <si>
    <t>2.3.29.</t>
  </si>
  <si>
    <t>фонд охраны труда</t>
  </si>
  <si>
    <t>2.3.30.</t>
  </si>
  <si>
    <t>убытки ,штрафы,пени</t>
  </si>
  <si>
    <t>2.3.31.</t>
  </si>
  <si>
    <r>
      <t xml:space="preserve">потери и недостачи в пределах и сверх норм </t>
    </r>
    <r>
      <rPr>
        <b/>
        <sz val="10"/>
        <rFont val="Arial Cyr"/>
        <family val="0"/>
      </rPr>
      <t xml:space="preserve">естественной убыли </t>
    </r>
    <r>
      <rPr>
        <sz val="10"/>
        <rFont val="Arial Cyr"/>
        <family val="0"/>
      </rPr>
      <t>материальных ценностей, не относящихся к производств.процессу</t>
    </r>
  </si>
  <si>
    <t>2.3.32.</t>
  </si>
  <si>
    <t xml:space="preserve">убытки в результате переоценки или уценки производственных запасов и готовой продукции по методу низшей оценки </t>
  </si>
  <si>
    <t>2.3.33.</t>
  </si>
  <si>
    <t>судебные издержки,госпошлина</t>
  </si>
  <si>
    <t>2.3.34.</t>
  </si>
  <si>
    <t>убытки от списание дебиторской задолжности по которой  срок исковой давности истек и др долгов</t>
  </si>
  <si>
    <t>2.3.35.</t>
  </si>
  <si>
    <t>уценка балансовой стоимости</t>
  </si>
  <si>
    <t>2.3.36.</t>
  </si>
  <si>
    <r>
      <t>убытки от реализации и списания  основных фондов фондов,</t>
    </r>
    <r>
      <rPr>
        <b/>
        <sz val="10"/>
        <rFont val="Arial Cyr"/>
        <family val="0"/>
      </rPr>
      <t>переоценка ОС</t>
    </r>
  </si>
  <si>
    <t>2.3.37.</t>
  </si>
  <si>
    <t>республиканская дегустация</t>
  </si>
  <si>
    <t>2.3.38.</t>
  </si>
  <si>
    <t>НДС,НДС и реализ нижестоим</t>
  </si>
  <si>
    <t>2.3.39.</t>
  </si>
  <si>
    <t>возмещение увечья</t>
  </si>
  <si>
    <t>2.3.40.</t>
  </si>
  <si>
    <t>подписка</t>
  </si>
  <si>
    <t>2.3.41.</t>
  </si>
  <si>
    <t xml:space="preserve">автоуслуги на хлопковую кампанию </t>
  </si>
  <si>
    <t>2.3.42.</t>
  </si>
  <si>
    <t>амортизация не работающих цехов</t>
  </si>
  <si>
    <t>2.3.43.</t>
  </si>
  <si>
    <t>Сад Ортикова.КФИ Халкабод. Теплица</t>
  </si>
  <si>
    <t>2.3.44.</t>
  </si>
  <si>
    <t>2.3.45.</t>
  </si>
  <si>
    <t>амортизация (аренда)</t>
  </si>
  <si>
    <t>2.3.46.</t>
  </si>
  <si>
    <t>командировочные</t>
  </si>
  <si>
    <t>2.3.47.</t>
  </si>
  <si>
    <t>15 ст., ст 12</t>
  </si>
  <si>
    <t>2.3.48.</t>
  </si>
  <si>
    <t>оценка рыночной стоимости котлоагрегата</t>
  </si>
  <si>
    <t>2.3.49.</t>
  </si>
  <si>
    <t>сверхурочные с соц отчислениями</t>
  </si>
  <si>
    <t>2.3.50.</t>
  </si>
  <si>
    <t>2.3.51.</t>
  </si>
  <si>
    <t>услуги архива</t>
  </si>
  <si>
    <t>2.3.52.</t>
  </si>
  <si>
    <t>надомный труд</t>
  </si>
  <si>
    <t>2.3.53.</t>
  </si>
  <si>
    <t>услуги спецсвязи</t>
  </si>
  <si>
    <t>2.3.54.</t>
  </si>
  <si>
    <t>списание продуктов хлопкоробам</t>
  </si>
  <si>
    <t>2.3.55.</t>
  </si>
  <si>
    <t>выплаты наблюдательному совету с соц отчислениями</t>
  </si>
  <si>
    <t>2.3.56.</t>
  </si>
  <si>
    <t>квартальное премирование членов правления    с соц отчислениями</t>
  </si>
  <si>
    <t>2.3.57.</t>
  </si>
  <si>
    <t>2.3.58.</t>
  </si>
  <si>
    <t>сбор 1% по балансовой прибыли в Холдинг</t>
  </si>
  <si>
    <t>2.3.59.</t>
  </si>
  <si>
    <t>2.3.60.</t>
  </si>
  <si>
    <t>2.3.61.</t>
  </si>
  <si>
    <t>ценные подарки</t>
  </si>
  <si>
    <t>2.3.62.</t>
  </si>
  <si>
    <t>2.3.63.</t>
  </si>
  <si>
    <t>прочие расходы</t>
  </si>
  <si>
    <t>2.3.64.</t>
  </si>
  <si>
    <t>мат помощь ветеранам ВОВ</t>
  </si>
  <si>
    <t>Итого по статье 2.3.</t>
  </si>
  <si>
    <t>Всего (2.1+2.2+2.3)</t>
  </si>
  <si>
    <t>не включаемые при декларировании</t>
  </si>
  <si>
    <t>=</t>
  </si>
  <si>
    <t>Председатель правления                                       С.С.Шамшиев</t>
  </si>
  <si>
    <t xml:space="preserve">                                             АО "BIOKIMYO"</t>
  </si>
  <si>
    <t xml:space="preserve">               " Одобрен "</t>
  </si>
  <si>
    <t>"Утверждаю"</t>
  </si>
  <si>
    <t xml:space="preserve"> Наблюдательным Советом</t>
  </si>
  <si>
    <t xml:space="preserve"> АО "Biokimyo"</t>
  </si>
  <si>
    <t>_________________Э.К. Уралов</t>
  </si>
  <si>
    <t>__________________С.С. Шамшиев</t>
  </si>
  <si>
    <t>"______"_________________2016 г</t>
  </si>
  <si>
    <t xml:space="preserve">  </t>
  </si>
  <si>
    <t>"_____"______________2016 г</t>
  </si>
  <si>
    <t>ПЕРЕЧЕНЬ</t>
  </si>
  <si>
    <t>Прогнозное целевое значение</t>
  </si>
  <si>
    <t>1 полугодие 2016г</t>
  </si>
  <si>
    <t>2016 год</t>
  </si>
  <si>
    <t>В</t>
  </si>
  <si>
    <t>С</t>
  </si>
  <si>
    <t>Прибыль до вычета прцентов , налогов и амортизации:</t>
  </si>
  <si>
    <t>1 Чистая прибыль +</t>
  </si>
  <si>
    <t>2 Расходы по налогу на прибыль+</t>
  </si>
  <si>
    <t>Возмещенный налог на прибыль -</t>
  </si>
  <si>
    <t>(+Чрезвычайные расходы)</t>
  </si>
  <si>
    <t>(- Чрезвычайные доходы)</t>
  </si>
  <si>
    <t>3 Проценты уплаченные +</t>
  </si>
  <si>
    <t xml:space="preserve">   Проценты полученные -</t>
  </si>
  <si>
    <t>EBIT =(1+2+3)</t>
  </si>
  <si>
    <t>4 Амортизационные отчисления по материальным и нематериальным активам +</t>
  </si>
  <si>
    <t>Переоценка активов -</t>
  </si>
  <si>
    <t>EBITDA =(1+2+3+4)</t>
  </si>
  <si>
    <t xml:space="preserve">Соотношение затрат и доходов (CIR) </t>
  </si>
  <si>
    <t>(Операционные расходы/Выручка)</t>
  </si>
  <si>
    <t xml:space="preserve">  Операциоонные расходы(1+2) :</t>
  </si>
  <si>
    <t>1 Себестоимость продаж+</t>
  </si>
  <si>
    <t xml:space="preserve">2 Расходы периода + </t>
  </si>
  <si>
    <t>в т.ч.Расходы по реализации</t>
  </si>
  <si>
    <t xml:space="preserve">Административные расходы </t>
  </si>
  <si>
    <t>3.Выручка</t>
  </si>
  <si>
    <t>Рентабельность привлеченного капитала (ROCE)</t>
  </si>
  <si>
    <t>(Чистая прибыль / Привлеченный капитал на начало и конец периода)</t>
  </si>
  <si>
    <t>1 Чистая прибыль</t>
  </si>
  <si>
    <t>2 Долгосрочный кредит</t>
  </si>
  <si>
    <t>Рентабельность акционерного капитала (ROE)</t>
  </si>
  <si>
    <t xml:space="preserve">(Чистая прибыль/Cреднегодовой акционерный капитал </t>
  </si>
  <si>
    <t xml:space="preserve">2 Cреднегодовой акционерный капитал </t>
  </si>
  <si>
    <t>V</t>
  </si>
  <si>
    <t>Рентабельность инвестиций акционеров (TSR)</t>
  </si>
  <si>
    <t>Цена акции  в начале периода</t>
  </si>
  <si>
    <t>Цена акции  в конце периода</t>
  </si>
  <si>
    <t>Дивиденды в течении периода</t>
  </si>
  <si>
    <t>VI</t>
  </si>
  <si>
    <t>Крр= Пудн/Аср</t>
  </si>
  <si>
    <t xml:space="preserve">2. Аср- среднеарифметическая величина стоимости активов, расчитываемая по формуле             Аср=(А1+А2)/2, где                                     А1-стоимость активов на начало периода(гр3 стр 400 формы№1      " Бухгалтерский баланс";                                    А2 - стоимость активов на конец периода(гр4 стр 400 формы№1             " Бухгалтерский баланс";                    </t>
  </si>
  <si>
    <t>VII</t>
  </si>
  <si>
    <t xml:space="preserve">Коэффициент абсолютной ликвидности </t>
  </si>
  <si>
    <r>
      <t xml:space="preserve">(Рекомендуемая нижняя граница этого показателя -0,2, т.е. выполняется условие                             Кал больше 0,2)                                               </t>
    </r>
    <r>
      <rPr>
        <b/>
        <sz val="10"/>
        <rFont val="Arial Cyr"/>
        <family val="0"/>
      </rPr>
      <t xml:space="preserve"> Кал = Дс / То</t>
    </r>
  </si>
  <si>
    <t>1. Дс - денежные средства - сумма строк раздела актива баланса , стр 320 (стр330+340+350+360)</t>
  </si>
  <si>
    <t xml:space="preserve">2. То- текущие обязательства,       стр 600 II раздела пассива баланса </t>
  </si>
  <si>
    <t>VIII</t>
  </si>
  <si>
    <t>Ксс= П1 /(П2-До) больше 1</t>
  </si>
  <si>
    <t>1. П1 - источники собственных средств, итог раздела I пассива баланса,стр 480</t>
  </si>
  <si>
    <t>2. П2 - обязательства , раздел II пассива баланса , стр 770</t>
  </si>
  <si>
    <t>3. До - долгосрочные обязательства стр 490 бухгалтерского баланса</t>
  </si>
  <si>
    <t>IX</t>
  </si>
  <si>
    <t>Окр дн = Дп / (Вр / Кз ср</t>
  </si>
  <si>
    <t>1. Вр - чистая выручка от реализации продукции отчетного периода стр 010,гр 5 форма №2 " Отчет о финансовых результатах"</t>
  </si>
  <si>
    <t>2. Дл- количество календарных дней в периоде</t>
  </si>
  <si>
    <r>
      <t xml:space="preserve">3.  Кз ср - среднее арифметическое значение </t>
    </r>
    <r>
      <rPr>
        <b/>
        <sz val="10"/>
        <rFont val="Arial Cyr"/>
        <family val="0"/>
      </rPr>
      <t xml:space="preserve">кредиторской </t>
    </r>
    <r>
      <rPr>
        <sz val="10"/>
        <rFont val="Arial Cyr"/>
        <family val="0"/>
      </rPr>
      <t>задолженности( половина от суммы значений на начало и конец периода по стр 601 раздела II пассива баланса формы №1 " Бухгалтерский баланс"</t>
    </r>
  </si>
  <si>
    <t>X</t>
  </si>
  <si>
    <t>Одз дн = Дп / (Вр / Дз ср</t>
  </si>
  <si>
    <r>
      <t xml:space="preserve">3.  Дз ср - среднее арифметическое значение </t>
    </r>
    <r>
      <rPr>
        <b/>
        <sz val="10"/>
        <rFont val="Arial Cyr"/>
        <family val="0"/>
      </rPr>
      <t xml:space="preserve">дебиторской </t>
    </r>
    <r>
      <rPr>
        <sz val="10"/>
        <rFont val="Arial Cyr"/>
        <family val="0"/>
      </rPr>
      <t>задолженности( половина от суммы значений на начало и конец периода по стр 210 раздела II актива баланса формы №1                          " Бухгалтерский баланс"</t>
    </r>
  </si>
  <si>
    <t>ХI</t>
  </si>
  <si>
    <t>Кпл=А2 / (П2-До)</t>
  </si>
  <si>
    <t>1. А2 -текущие активы разд II актива баланса стр 390</t>
  </si>
  <si>
    <t>3.До - долгосрочные обязательства стр 490  Бухгалтерского баланса</t>
  </si>
  <si>
    <t>ХII</t>
  </si>
  <si>
    <t>Дв = Дао / ЕРS</t>
  </si>
  <si>
    <t>1.  Дао - начисленный дивидент на одну простую акцию , на основании бухгалтерского учета</t>
  </si>
  <si>
    <t>2.ЕРS- доход на одну акцию определяется по формуле</t>
  </si>
  <si>
    <t>.ЕРS=(Чп- ДИВ прив) / Као</t>
  </si>
  <si>
    <t>1. Чп-  чистая прибыль отчетного периода гр5 форма №2 "Отчет о финансовых результатах"</t>
  </si>
  <si>
    <t>2. ДИВ прив- начисленные дивиденды по привилегированным акциям;</t>
  </si>
  <si>
    <t>3. Као- общее число размещенных простых акций стр 152 гр 9 формы №5 " Отчет о собственном капитале"</t>
  </si>
  <si>
    <t>ХIII</t>
  </si>
  <si>
    <t>Показатель снижения дебиторской задолженности ( в % к установленному заданию)</t>
  </si>
  <si>
    <t>1. Отношение фактического показателя снижения дебиторской задолженности к прогнозному заявленному значению</t>
  </si>
  <si>
    <t xml:space="preserve">     Наблюдательным Советом</t>
  </si>
  <si>
    <t xml:space="preserve">       Председатель правления</t>
  </si>
  <si>
    <t xml:space="preserve">в том числе </t>
  </si>
  <si>
    <t>Коэффициент износа основных средств          (превышает 0,5 значительная изношенность оборудования)</t>
  </si>
  <si>
    <t>Кизн = И / О</t>
  </si>
  <si>
    <r>
      <rPr>
        <b/>
        <sz val="10"/>
        <rFont val="Arial Cyr"/>
        <family val="0"/>
      </rPr>
      <t xml:space="preserve">И </t>
    </r>
    <r>
      <rPr>
        <sz val="10"/>
        <rFont val="Arial Cyr"/>
        <family val="0"/>
      </rPr>
      <t>- износ основных средств - строка 011 формы№1 "Бухгалтерский баланс"</t>
    </r>
  </si>
  <si>
    <r>
      <t xml:space="preserve">О - </t>
    </r>
    <r>
      <rPr>
        <sz val="10"/>
        <rFont val="Arial Cyr"/>
        <family val="0"/>
      </rPr>
      <t xml:space="preserve">первоначальная стоимость основных средств- строка010 формы№1 " Бухгалтерский баланс" </t>
    </r>
  </si>
  <si>
    <t xml:space="preserve">Коэффициент обновления  основных средств                                 </t>
  </si>
  <si>
    <t>Кн = Ан / Аос к</t>
  </si>
  <si>
    <r>
      <rPr>
        <b/>
        <sz val="10"/>
        <rFont val="Arial Cyr"/>
        <family val="0"/>
      </rPr>
      <t xml:space="preserve">Ан </t>
    </r>
    <r>
      <rPr>
        <sz val="10"/>
        <rFont val="Arial Cyr"/>
        <family val="0"/>
      </rPr>
      <t>- балансовая стоимость поступивших за период основных средств (строка 101, гр2 формы статотчетности 2- moliya "Отчет о наличии и движении основных средств и других нефинансовых активов"</t>
    </r>
  </si>
  <si>
    <r>
      <t xml:space="preserve">Аос к </t>
    </r>
    <r>
      <rPr>
        <sz val="10"/>
        <rFont val="Arial Cyr"/>
        <family val="0"/>
      </rPr>
      <t xml:space="preserve">-балансовая остаточная стоимость всех основных средств на конец периода (стр 101, гр 9  формы статотчетности  2- moliya "Отчет о наличии и движении основных средств и других нефинансовых активов" </t>
    </r>
  </si>
  <si>
    <t>Вч= Вр / Чср</t>
  </si>
  <si>
    <r>
      <t xml:space="preserve">1 </t>
    </r>
    <r>
      <rPr>
        <b/>
        <sz val="10"/>
        <rFont val="Arial Cyr"/>
        <family val="0"/>
      </rPr>
      <t>Вр</t>
    </r>
    <r>
      <rPr>
        <sz val="10"/>
        <rFont val="Arial Cyr"/>
        <family val="0"/>
      </rPr>
      <t xml:space="preserve">- чистая выручка от реализации продукции отчетного периода ,сум;(стр 010, гр 5 формы 2 "Отчет о финансовых результатах" </t>
    </r>
  </si>
  <si>
    <r>
      <t xml:space="preserve">2 </t>
    </r>
    <r>
      <rPr>
        <b/>
        <sz val="10"/>
        <rFont val="Arial Cyr"/>
        <family val="0"/>
      </rPr>
      <t>Чср -</t>
    </r>
    <r>
      <rPr>
        <sz val="10"/>
        <rFont val="Arial Cyr"/>
        <family val="0"/>
      </rPr>
      <t xml:space="preserve"> среднесписочная численность сотрудников организации </t>
    </r>
  </si>
  <si>
    <t>Фондоотдача</t>
  </si>
  <si>
    <t>Фо= Вр / Фср</t>
  </si>
  <si>
    <r>
      <t xml:space="preserve">2 </t>
    </r>
    <r>
      <rPr>
        <b/>
        <sz val="10"/>
        <rFont val="Arial Cyr"/>
        <family val="0"/>
      </rPr>
      <t xml:space="preserve">Фср </t>
    </r>
    <r>
      <rPr>
        <sz val="10"/>
        <rFont val="Arial Cyr"/>
        <family val="0"/>
      </rPr>
      <t>- среднеарифметическая величина ОС за отчетный период. Определяется по формуле        Фср= (Ф1+ Ф2) / 2, где   Ф1 и Ф2 - стоимость ОС на начало и конец отчетного периода ,сум; стр 012, гр 3 и 4 форма№1 "Бухгалтерский баланс"</t>
    </r>
  </si>
  <si>
    <t>Коэффициент использования производственных мощностей (ниже 0,5 ,   то низкий уровень использования производственных мощностей)</t>
  </si>
  <si>
    <t>Ким=Qфакт / ((Qпроект-(Qаренд+Qконсерв))</t>
  </si>
  <si>
    <r>
      <rPr>
        <b/>
        <sz val="10"/>
        <rFont val="Arial Cyr"/>
        <family val="0"/>
      </rPr>
      <t xml:space="preserve">Qфакт </t>
    </r>
    <r>
      <rPr>
        <sz val="10"/>
        <rFont val="Arial Cyr"/>
        <family val="0"/>
      </rPr>
      <t>- фактический объем выпущенной продукции за отчетный период в сопоставимом стоимостном выражении</t>
    </r>
  </si>
  <si>
    <r>
      <rPr>
        <b/>
        <sz val="10"/>
        <rFont val="Arial Cyr"/>
        <family val="0"/>
      </rPr>
      <t>Qпроект</t>
    </r>
    <r>
      <rPr>
        <sz val="10"/>
        <rFont val="Arial Cyr"/>
        <family val="0"/>
      </rPr>
      <t>- максимальный объём выпуска продукции за установленный период времени в сопоставимом стоимостном выражении,который может достигнут при полном использовании основного технологического оборудования</t>
    </r>
  </si>
  <si>
    <r>
      <rPr>
        <b/>
        <sz val="10"/>
        <rFont val="Arial Cyr"/>
        <family val="0"/>
      </rPr>
      <t>Qаренд</t>
    </r>
    <r>
      <rPr>
        <sz val="10"/>
        <rFont val="Arial Cyr"/>
        <family val="0"/>
      </rPr>
      <t>-- объёмы продукции (сопоставимые ), приходящиеся на мощности , сданные в аренду</t>
    </r>
  </si>
  <si>
    <r>
      <rPr>
        <b/>
        <sz val="10"/>
        <rFont val="Arial Cyr"/>
        <family val="0"/>
      </rPr>
      <t xml:space="preserve">Qконсерв </t>
    </r>
    <r>
      <rPr>
        <sz val="10"/>
        <rFont val="Arial Cyr"/>
        <family val="0"/>
      </rPr>
      <t>- объёмы продукции (сопоставимые ), приходящиеся на законсервированные мощности</t>
    </r>
  </si>
  <si>
    <t>Энергоэффективность (доля затрат на энергию в структуре себестоимости продукции)</t>
  </si>
  <si>
    <t>Зз / Зп</t>
  </si>
  <si>
    <r>
      <rPr>
        <b/>
        <sz val="10"/>
        <rFont val="Arial Cyr"/>
        <family val="0"/>
      </rPr>
      <t xml:space="preserve">Зз </t>
    </r>
    <r>
      <rPr>
        <sz val="10"/>
        <rFont val="Arial Cyr"/>
        <family val="0"/>
      </rPr>
      <t>- совокупная стоимость затрат производственного назначения на горюче-смазочные материалы , теплоснабжение, потребление электричества, газоснабжение</t>
    </r>
  </si>
  <si>
    <r>
      <rPr>
        <b/>
        <sz val="10"/>
        <rFont val="Arial Cyr"/>
        <family val="0"/>
      </rPr>
      <t>Зп</t>
    </r>
    <r>
      <rPr>
        <sz val="10"/>
        <rFont val="Arial Cyr"/>
        <family val="0"/>
      </rPr>
      <t xml:space="preserve"> - себестоимость произведенной продукции</t>
    </r>
  </si>
  <si>
    <t>Затраты на обучение персонала , в расчете на одного работника</t>
  </si>
  <si>
    <t>Зобуч / Чср</t>
  </si>
  <si>
    <t xml:space="preserve">1.Зобуч -  затраты на обучение персонала </t>
  </si>
  <si>
    <t xml:space="preserve">2. Чср- среднесписочная численность сотрудников организации </t>
  </si>
  <si>
    <t xml:space="preserve">Коэффициент текучести кадров </t>
  </si>
  <si>
    <t>Чнач / Чкон</t>
  </si>
  <si>
    <t>1. Чнач и Чкон - численность сотрудников организации на начало и конец периода</t>
  </si>
  <si>
    <t xml:space="preserve">                               С.С.Шамшиев </t>
  </si>
  <si>
    <t xml:space="preserve">                                К.А.Хусанов </t>
  </si>
  <si>
    <t xml:space="preserve">                                                    К.А.Хусанов </t>
  </si>
  <si>
    <t xml:space="preserve">             С.С.Шамшиев</t>
  </si>
  <si>
    <t>Сумма, тыс сум</t>
  </si>
  <si>
    <t xml:space="preserve">                                С.С.Шамшиев </t>
  </si>
  <si>
    <t xml:space="preserve">                                                       К.А.Хусанов </t>
  </si>
  <si>
    <t>Председатель правления                                                     С.С.Шамшиев</t>
  </si>
  <si>
    <t xml:space="preserve">
ОТЧЕТ  О  ФИНАНСОВЫХ  РЕЗУЛЬТАТАХ
форма №2</t>
  </si>
  <si>
    <t>Количество рабочих дней</t>
  </si>
  <si>
    <t>Установленная мощность        (тыс дал)</t>
  </si>
  <si>
    <t>Прогноз производства   (тыс дал)</t>
  </si>
  <si>
    <t>%, использова-ния мощностей</t>
  </si>
  <si>
    <t xml:space="preserve"> Установленная мощность                с начало года                   ( тыс дал)</t>
  </si>
  <si>
    <t xml:space="preserve"> Прогноз  производства         с начало года   (тыс дал)</t>
  </si>
  <si>
    <t>январь</t>
  </si>
  <si>
    <t>февраль</t>
  </si>
  <si>
    <t>9 мес.2016г</t>
  </si>
  <si>
    <t>2 полугодие 2016г</t>
  </si>
  <si>
    <t>12 месяцев 2016 год</t>
  </si>
  <si>
    <t>Начальник ПТО</t>
  </si>
  <si>
    <t>З.К.Шестеркина</t>
  </si>
  <si>
    <t xml:space="preserve">              АО "BIOKIMYO" </t>
  </si>
  <si>
    <t>Начальник ОСПРБ</t>
  </si>
  <si>
    <t xml:space="preserve">Начальник ОСПРБ </t>
  </si>
  <si>
    <t>Начальник службы ОТиТБ</t>
  </si>
  <si>
    <t xml:space="preserve">                                      Начальник ОСПРБ                                                     К.А. Хусанов</t>
  </si>
  <si>
    <t>по Янгиюльскому АО"BIOKIMYO" на 2017год</t>
  </si>
  <si>
    <t>Прогноз  2017 г</t>
  </si>
  <si>
    <t xml:space="preserve"> Факт ожид.      за 2016 г</t>
  </si>
  <si>
    <t>Прогноз  2017г.</t>
  </si>
  <si>
    <t>Расчет  налогов  на  2017 год  по АО "BIOKIMYO"</t>
  </si>
  <si>
    <t>4,6432га х 7288721сум х 1,15=38920тыс.сум</t>
  </si>
  <si>
    <t>6 га х 7461444сум х 1,15 = 51484тыс сум</t>
  </si>
  <si>
    <t>15.83 га х 6833113сум х 1,15 =124394 тыс сум</t>
  </si>
  <si>
    <t xml:space="preserve">    Всего    на 2017 г</t>
  </si>
  <si>
    <t xml:space="preserve">в т.ч. </t>
  </si>
  <si>
    <t>ТЭР</t>
  </si>
  <si>
    <t>2016г.
(ожид.)</t>
  </si>
  <si>
    <t xml:space="preserve"> 2017г.
(прогноз)</t>
  </si>
  <si>
    <t>Спирт технический     (тыс л)</t>
  </si>
  <si>
    <t>кол-во</t>
  </si>
  <si>
    <t>Прогнозный объем производства на 2017 год</t>
  </si>
  <si>
    <t>Общие затраты на 2017 год</t>
  </si>
  <si>
    <t>2016г.
(Ожид.)</t>
  </si>
  <si>
    <t>Прогноз  2017г</t>
  </si>
  <si>
    <t>Прогноз снижения себестоимости на 2017 год</t>
  </si>
  <si>
    <t>Тошкент вилоятиЧигирткага карши курашиш хизмати</t>
  </si>
  <si>
    <t xml:space="preserve">письмо№43/1 от 22.07.16г, ХК Узвинносаноат-Холдинг  </t>
  </si>
  <si>
    <t>Узбекистон Мехр -шавкат фонди</t>
  </si>
  <si>
    <t>Тошкент шахар хокимияти ягона буюртмачи хизмати инжиниринг компанияси</t>
  </si>
  <si>
    <t>Тошкент вилояти хокимлиги капитал курилиш буйича ягона буюртмачи хизмати</t>
  </si>
  <si>
    <t xml:space="preserve">письмо№10/429от 29.02.16г, ХК Узвинсаноат-Холдинг  </t>
  </si>
  <si>
    <t xml:space="preserve">письмо№54 от 20.09.16г, ХК Узвинсаноат-Холдинг  </t>
  </si>
  <si>
    <t>Узбекистон Ук отиш спорти федерацияси</t>
  </si>
  <si>
    <t xml:space="preserve">письмо№64 от 18.10.16г, ХК Узвинсаноат-Холдинг  </t>
  </si>
  <si>
    <t xml:space="preserve">Куйи Сирдарьё ирригация тизимлари хавзабошкармаси кошидаги Жиззак Насос станциялари, энергетика ва алока бошкамасининг ривожлантириш жангармаси </t>
  </si>
  <si>
    <t xml:space="preserve">письмо№67 от 28.10.16г, ХК Узвинносаноат-Холдинг  </t>
  </si>
  <si>
    <t>письмо№10/18 от 28.01.16г ХК " Узвиносаноат- Холдинг"</t>
  </si>
  <si>
    <t>9</t>
  </si>
  <si>
    <t>10</t>
  </si>
  <si>
    <t>11</t>
  </si>
  <si>
    <t>12</t>
  </si>
  <si>
    <t>13</t>
  </si>
  <si>
    <t>14</t>
  </si>
  <si>
    <t>15</t>
  </si>
  <si>
    <t>письмо№16 от 9.03.16г,Янгиюль общество инвалидов,письмо№30от 14.03.16гЯнгиюль туман кузи ожизлар ташкилоти, письмо№16 от 5.04.16г Янгиюль туман "Нуроний" жангармаси, письмо№1/16-3139 от 24.06.16г Янгиюль туман "хкимияти</t>
  </si>
  <si>
    <t xml:space="preserve">письмо№53 от 20.09.16г, ХК Узвинсаноат-Холдинг  , </t>
  </si>
  <si>
    <t>Свод затрат на производство на 2017 год</t>
  </si>
  <si>
    <t>Использование мощностей на производстве спирта из зерна на 2017 г</t>
  </si>
  <si>
    <t xml:space="preserve">  Прогноз         на 2017 год    всего</t>
  </si>
  <si>
    <t xml:space="preserve">Тошкент вилояти ИИБ хузуридаги                  </t>
  </si>
  <si>
    <t xml:space="preserve">    по Янгиюльскому АО "BIOKIMYO" на   2017год</t>
  </si>
  <si>
    <t>по АО   "Biokimyo "</t>
  </si>
  <si>
    <t>Месячная амортизация            по цеху</t>
  </si>
  <si>
    <t>Доля вспомогательных производств</t>
  </si>
  <si>
    <t>Итого амортизация      за  месяц</t>
  </si>
  <si>
    <t>В том числе         на товарную продукцию</t>
  </si>
  <si>
    <t>Аморти-зация НМА</t>
  </si>
  <si>
    <t>Всего на товарную продукцию с НМА в месяц</t>
  </si>
  <si>
    <t>Всего на товарную продукцию с НМА на 2017 год</t>
  </si>
  <si>
    <t>Спирт пищевой всего</t>
  </si>
  <si>
    <t xml:space="preserve">"Высшая очистка"       10%  </t>
  </si>
  <si>
    <t xml:space="preserve">"Экстра"                      10 % </t>
  </si>
  <si>
    <t>Технический спирт</t>
  </si>
  <si>
    <t>Пар  технологический</t>
  </si>
  <si>
    <t xml:space="preserve"> в т.ч. пар  товарный</t>
  </si>
  <si>
    <t>Распределение месячной амортизации</t>
  </si>
  <si>
    <t>Амортизация по цеху ПЭСЗ</t>
  </si>
  <si>
    <t>Вспомагательные цеха</t>
  </si>
  <si>
    <t>- Зернохранилище</t>
  </si>
  <si>
    <t>- РСУ</t>
  </si>
  <si>
    <t>- Компрессорная воздуха</t>
  </si>
  <si>
    <t>- РМУ</t>
  </si>
  <si>
    <t>- КИПиА</t>
  </si>
  <si>
    <t>- ПЭСЗ</t>
  </si>
  <si>
    <t>- Автотранспорт. цех</t>
  </si>
  <si>
    <t>- Переработка барды</t>
  </si>
  <si>
    <t>- ЛТХК, сан лаб.</t>
  </si>
  <si>
    <t>- Углекислотный цех</t>
  </si>
  <si>
    <t>- Склад химикатов</t>
  </si>
  <si>
    <t>- Склад материаль</t>
  </si>
  <si>
    <t>- Участок ППАиС</t>
  </si>
  <si>
    <t>- Электроцех</t>
  </si>
  <si>
    <t>Прочие производ. расходы</t>
  </si>
  <si>
    <t>Быт.корпус-2</t>
  </si>
  <si>
    <t>ВЧПБ-19</t>
  </si>
  <si>
    <t>Очистные сооружен</t>
  </si>
  <si>
    <t>Заводская охрана</t>
  </si>
  <si>
    <t>Участок оборот.водснабж.</t>
  </si>
  <si>
    <t>Электроцех</t>
  </si>
  <si>
    <t>Водоснабжение</t>
  </si>
  <si>
    <t>Участок   ХО воды</t>
  </si>
  <si>
    <t>94/10-итого</t>
  </si>
  <si>
    <t>Сводная по заводу</t>
  </si>
  <si>
    <t>на месяц</t>
  </si>
  <si>
    <t>на 2017 год</t>
  </si>
  <si>
    <t>Склад спирта технического</t>
  </si>
  <si>
    <t>Счета 20,23</t>
  </si>
  <si>
    <t xml:space="preserve">Склад спирта </t>
  </si>
  <si>
    <t>Прочие произв.расходы</t>
  </si>
  <si>
    <t>94/20-итого</t>
  </si>
  <si>
    <t>Электроцех, водоснабж.,                        уч. ХО воды, оборот.водоснаб</t>
  </si>
  <si>
    <t xml:space="preserve">Легковой автотранспорт </t>
  </si>
  <si>
    <t>94/10</t>
  </si>
  <si>
    <t>94/20</t>
  </si>
  <si>
    <t>94/30-итого</t>
  </si>
  <si>
    <t>94/30</t>
  </si>
  <si>
    <t>АХО</t>
  </si>
  <si>
    <t>сч 27.11 КФИ Халкабад</t>
  </si>
  <si>
    <t>Сад.уч КФИ Ортикова</t>
  </si>
  <si>
    <t>сч 27.11 КФИ Ортикова</t>
  </si>
  <si>
    <t>Аренда всего:</t>
  </si>
  <si>
    <t>счет 27,11. теплица 3</t>
  </si>
  <si>
    <t>OOO " Sintez Progress"</t>
  </si>
  <si>
    <t>счет 27,11. теплица 4</t>
  </si>
  <si>
    <t>MCHJ RUSART</t>
  </si>
  <si>
    <t>счет 27,11. теплица 5</t>
  </si>
  <si>
    <t>MCHJ SAXOVATLI BIZNES BARAKA</t>
  </si>
  <si>
    <t>счет 27.11.тепличное хоз-во</t>
  </si>
  <si>
    <t>MCHJ ANAXMEDGAZ BIZNES</t>
  </si>
  <si>
    <t>счет 25,10</t>
  </si>
  <si>
    <t>MCHJ MEXTIMA  EXPOTEHNO</t>
  </si>
  <si>
    <t>счет 27,10 медпункт</t>
  </si>
  <si>
    <t>MCHJ IBRATLI OQIL</t>
  </si>
  <si>
    <t>Всего по заводу:</t>
  </si>
  <si>
    <t>ТНП</t>
  </si>
  <si>
    <t>Дрожжевой цех</t>
  </si>
  <si>
    <t>Уч йодирован соли</t>
  </si>
  <si>
    <t>Цех ХО мела</t>
  </si>
  <si>
    <t>Крахмальное отделение</t>
  </si>
  <si>
    <t>Доля        в тов. прод. %</t>
  </si>
  <si>
    <t>А М О Р Т И З А Ц И Я на 2017 год</t>
  </si>
  <si>
    <t>Неработ. цеха, всего:</t>
  </si>
  <si>
    <t>Административный  корпус</t>
  </si>
  <si>
    <t>на   2017 года</t>
  </si>
  <si>
    <t>Программа
новых рабочих мест, создаемых за счет реализации проектов, включенных в Инвестционную программу, программу локализации, а также программу развития надомного труда на 2017 год</t>
  </si>
  <si>
    <t>Программа создания новых рабочих мест в 2017 году</t>
  </si>
  <si>
    <t>ВСЕГО
 за 2017 год</t>
  </si>
  <si>
    <t>Программа повышения квалификации руководителей и специалистов на 2017 год</t>
  </si>
  <si>
    <t xml:space="preserve">Мастер РСУ, начальник ПСЦ, механик наладчик ПЭСЗ, старший технолог уч. водоснабжения </t>
  </si>
  <si>
    <t>Химик ЛТХК, техник технолог ПЭСЗ</t>
  </si>
  <si>
    <t>Начальник ПЭСЗ, начальник ПСЦ, зав. складом спирта , механик по ремонту оборудования</t>
  </si>
  <si>
    <t>Ответственный за паровые котлы</t>
  </si>
  <si>
    <t xml:space="preserve"> Механик по ремонту оборудования</t>
  </si>
  <si>
    <t>Ответственный за сжиженные газы (кислород, пропан)</t>
  </si>
  <si>
    <t xml:space="preserve">Механик наладчик ПЭСЗ, заведующий материальным складом </t>
  </si>
  <si>
    <t>Ответственный за безопасное производство работ подъёмными кранами</t>
  </si>
  <si>
    <t>за 2017 г.</t>
  </si>
  <si>
    <t xml:space="preserve">Сотиш аражатлари 
Расходы по реализации  </t>
  </si>
  <si>
    <t>Маъмурий аражатлар
Административные расходы</t>
  </si>
  <si>
    <t xml:space="preserve">Бошка операцион аражатлар 
Прочие операционные расходы </t>
  </si>
  <si>
    <t xml:space="preserve">Асосий фаолиятнинг бошка даромадлари
Прочие доходы от основной деятельности </t>
  </si>
  <si>
    <t>Начальник ОСПРБ                                                                  К.А.Хусанов</t>
  </si>
  <si>
    <t>"Люкс"                        80%</t>
  </si>
  <si>
    <t xml:space="preserve"> по АО "Биокимё" на    2017г</t>
  </si>
  <si>
    <t>1210 тыс дал</t>
  </si>
  <si>
    <t>Ожидаемое за 2016 год</t>
  </si>
  <si>
    <t>Прогноз     на     2017 год</t>
  </si>
  <si>
    <t>содержание и отчисление  профкому 0,5%</t>
  </si>
  <si>
    <t>ревизионная комссия</t>
  </si>
  <si>
    <t xml:space="preserve">возмещение расходов по выплате льготной пенсии (текущие) </t>
  </si>
  <si>
    <t>услуги Центро Банка</t>
  </si>
  <si>
    <t>%, использова-ния мощностей с начало года (тыс дал)</t>
  </si>
  <si>
    <t>Перечень инвестиционных проектов, реализуемых в 2017 году</t>
  </si>
  <si>
    <t>Прогноз освоения на 2017 год</t>
  </si>
  <si>
    <t>Ожидаемый остаток на 01.01.2017г.</t>
  </si>
  <si>
    <t xml:space="preserve">за  2017 г. </t>
  </si>
  <si>
    <t>2014г</t>
  </si>
  <si>
    <t>2016г</t>
  </si>
  <si>
    <t>2017г</t>
  </si>
  <si>
    <t>2018г</t>
  </si>
  <si>
    <t>2019г</t>
  </si>
  <si>
    <t>2020г</t>
  </si>
  <si>
    <t>Сатр раками № строк</t>
  </si>
  <si>
    <t>Смета расходов на 2017 год по АО"BIOKIMYO"</t>
  </si>
  <si>
    <t>в  том числе по кварталам</t>
  </si>
  <si>
    <t>План выпуска продукции на 2017 год по АО"BIOKIMYO"</t>
  </si>
  <si>
    <t>План реализации продукции на 2017год  по АО"BIOKIMYO"</t>
  </si>
  <si>
    <t xml:space="preserve">Сводные показатели производства и снижения себестоимости по АО "BIOKIMYO" на 2017 год </t>
  </si>
  <si>
    <t>Направление благотворительной помощи</t>
  </si>
  <si>
    <t xml:space="preserve">Факт                         за 2015 год </t>
  </si>
  <si>
    <t xml:space="preserve">План        на 2017год </t>
  </si>
  <si>
    <t xml:space="preserve">по АО "BIOKIMYO" на 2017 год </t>
  </si>
  <si>
    <t>Первоначальная стоимость на 01.01.2017г.</t>
  </si>
  <si>
    <t>Стоимость на 01.01.2017г. 
(с учетом переоценки)</t>
  </si>
  <si>
    <t>Начисление износа за 2017г.</t>
  </si>
  <si>
    <t xml:space="preserve">Расшифровка ОС и нематериальных активов по  АО "BIOKIMYO" </t>
  </si>
  <si>
    <t>2015.
(факт)</t>
  </si>
  <si>
    <t>2016г.
(факт)</t>
  </si>
  <si>
    <t>пар технологический товарный</t>
  </si>
  <si>
    <t>Прогноз на 2017г.</t>
  </si>
  <si>
    <t>Темп роста к 2016г., %</t>
  </si>
  <si>
    <t>Основные финансово-экономические показатели и темпы экономического роста на 2017 год</t>
  </si>
  <si>
    <t>по  АО "Biokimyo"</t>
  </si>
  <si>
    <t>Погашение на 2017 год</t>
  </si>
  <si>
    <t>Итого 
за 2017 год</t>
  </si>
  <si>
    <t>Приложение к Бизнес-плану</t>
  </si>
  <si>
    <t>Наименование показателя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</si>
  <si>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</si>
  <si>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</si>
  <si>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</si>
  <si>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</si>
  <si>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</si>
  <si>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</si>
  <si>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</si>
  <si>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</si>
  <si>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</si>
  <si>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</si>
  <si>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</si>
  <si>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</si>
  <si>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</si>
  <si>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</si>
  <si>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</si>
  <si>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</si>
  <si>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</si>
  <si>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</si>
  <si>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</si>
  <si>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</si>
  <si>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</si>
  <si>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</si>
  <si>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</si>
  <si>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</si>
  <si>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</si>
  <si>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</si>
  <si>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</si>
  <si>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</si>
  <si>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</si>
  <si>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</si>
  <si>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</si>
  <si>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</si>
  <si>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</si>
  <si>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</si>
  <si>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</si>
  <si>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</si>
  <si>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</si>
  <si>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</si>
  <si>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</si>
  <si>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</si>
  <si>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</si>
  <si>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</si>
  <si>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</si>
  <si>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</si>
  <si>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</si>
  <si>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</si>
  <si>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</si>
  <si>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</si>
  <si>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</si>
  <si>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</si>
  <si>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</si>
  <si>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</si>
  <si>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</si>
  <si>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</si>
  <si>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</si>
  <si>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</si>
  <si>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</si>
  <si>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</si>
  <si>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</si>
  <si>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</si>
  <si>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</si>
  <si>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</si>
  <si>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</si>
  <si>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</si>
  <si>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</si>
  <si>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</si>
  <si>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</si>
  <si>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</si>
  <si>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</si>
  <si>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</si>
  <si>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</si>
  <si>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</si>
  <si>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</si>
  <si>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</si>
  <si>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</si>
  <si>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</si>
  <si>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</si>
  <si>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</si>
  <si>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</si>
  <si>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</si>
  <si>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</si>
  <si>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</si>
  <si>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</si>
  <si>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</si>
  <si>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</si>
  <si>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</si>
  <si>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</si>
  <si>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</si>
  <si>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</si>
  <si>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</si>
  <si>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Ожидаемый баланс  по  АО "Biokimyo "</t>
  </si>
  <si>
    <t>ОЖИДАЕМЫЙ ОТЧЕТ О ФИНАНСОВЫХ РЕЗУЛЬТАТАХ  по  АО "Biokimyo "</t>
  </si>
  <si>
    <t>за 2017 год</t>
  </si>
  <si>
    <t>1210т дал</t>
  </si>
  <si>
    <t>№ строк</t>
  </si>
  <si>
    <t>2017 год</t>
  </si>
  <si>
    <t>за 3 месяца</t>
  </si>
  <si>
    <t>за 6 месяцев</t>
  </si>
  <si>
    <t>за 9 месяцев</t>
  </si>
  <si>
    <t>за год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</si>
  <si>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</si>
  <si>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</si>
  <si>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</si>
  <si>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Расходы периода, всего  (стр.050+060+070+080), в том числе:</t>
  </si>
  <si>
    <t xml:space="preserve">Расходы по реализации  </t>
  </si>
  <si>
    <t>Расходы отчетного периода, исключаемые из налогооблагаемой базы в будущем</t>
  </si>
  <si>
    <t xml:space="preserve">Прочие доходы от основной деятельности </t>
  </si>
  <si>
    <t xml:space="preserve">Прибыль (убыток) от основной деятельности  (стр.030-040+090) 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</si>
  <si>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</si>
  <si>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</si>
  <si>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</si>
  <si>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</si>
  <si>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Прочие дооды от финансовой деятельности</t>
  </si>
  <si>
    <t>Расходы по финансовой деятельности (стр.180+190+200+210),  в том числе:</t>
  </si>
  <si>
    <t>Расходы в виде процентов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</si>
  <si>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</si>
  <si>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</si>
  <si>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</si>
  <si>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</si>
  <si>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</si>
  <si>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</si>
  <si>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</si>
  <si>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</si>
  <si>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 xml:space="preserve">                                                                                                            основных ключевых показателей эффективности по  АО "Biokimyo" на 2017 год                                                                                               </t>
  </si>
  <si>
    <t>1 полугодие 2017г</t>
  </si>
  <si>
    <t>9 месяцев 2017г</t>
  </si>
  <si>
    <t>Год  2017г</t>
  </si>
  <si>
    <t xml:space="preserve">дополнительных ключевых показателей эффективности по  АО "Biokimyo" на 2017 год    </t>
  </si>
  <si>
    <t xml:space="preserve">1 квартал 2017г </t>
  </si>
  <si>
    <t>(Цена акции в конце периода - цена акции в начале периода + выплаченные в течении периода дивиденды) /цена акции вначале периода</t>
  </si>
  <si>
    <t>Капитализация на 2017 год (из чистой прибыли за 2016 года)</t>
  </si>
  <si>
    <t>Капитализация на 2017 год (из чистой приыбли за 2017 года)</t>
  </si>
  <si>
    <t>Прибыль 2017 года</t>
  </si>
  <si>
    <t>Ожидаемые дивиденды на 2017 год</t>
  </si>
  <si>
    <t>Полученные дивиденды за 2016 год</t>
  </si>
  <si>
    <t>на 1.11.2016г</t>
  </si>
  <si>
    <t>Темп роста к 2015г., %</t>
  </si>
  <si>
    <t>на 2017 год.</t>
  </si>
  <si>
    <t>"____"________2017г</t>
  </si>
  <si>
    <t>Протокол №         от  "       " ноября 2016 года</t>
  </si>
  <si>
    <t>К.А.Меметова</t>
  </si>
  <si>
    <t>Зам. главного бухгалтера</t>
  </si>
  <si>
    <t>К.А.МЕМЕТОВА</t>
  </si>
  <si>
    <t xml:space="preserve">Зам. главного бухгалтера </t>
  </si>
  <si>
    <t xml:space="preserve">   Факт(ожид.)                за 2016 год</t>
  </si>
  <si>
    <t xml:space="preserve">                                       Зам. главного бухгалтера                                             К.А.Меметова</t>
  </si>
  <si>
    <t xml:space="preserve">                                          Начальник ОСПРБ                                                      К.А. Хусанов</t>
  </si>
  <si>
    <t xml:space="preserve">                                      Председатель правления                                           С.С.Шамшиев</t>
  </si>
  <si>
    <t xml:space="preserve">                                      Зам.главного бухгалтера                                        К.А.Меметова</t>
  </si>
  <si>
    <t xml:space="preserve">                                       Начальник ОСПРБ                                                        К.А. Хусанов</t>
  </si>
  <si>
    <t xml:space="preserve"> Зам.главного бухгалтера</t>
  </si>
  <si>
    <t>Зам.главного бухгалтера</t>
  </si>
  <si>
    <t xml:space="preserve">Зам.главного бухгалтера </t>
  </si>
  <si>
    <t>Бош бухгалтер
Зам.главного бухгалтера</t>
  </si>
  <si>
    <t xml:space="preserve">                               К.А.Меметова</t>
  </si>
  <si>
    <t xml:space="preserve">                                                    К.А.Меметова</t>
  </si>
  <si>
    <t xml:space="preserve">                               К.А. Меметова</t>
  </si>
  <si>
    <t xml:space="preserve">                                К.А.Меметова</t>
  </si>
  <si>
    <t xml:space="preserve">                                                     К.А.Меметова</t>
  </si>
  <si>
    <t>Зам. главного бухгалтера                                                      К.А.Меметова</t>
  </si>
  <si>
    <t>Начальник ОСПРБ                                                                    К.А.Хусанов</t>
  </si>
  <si>
    <t>Зам.главного бухгалтера                                                       К.А.Меметова</t>
  </si>
  <si>
    <t>Председатель правления                                                   С.С.Шамшиев</t>
  </si>
  <si>
    <t>объём  реализ.прод 59895693т.сум</t>
  </si>
  <si>
    <t>59895693 т.сум х 1,4 %=838539,7 т.сум</t>
  </si>
  <si>
    <t>объём реал.прод.59895693т.сум</t>
  </si>
  <si>
    <t>59895693 т сум х 0,5% =299478,5 т сум</t>
  </si>
  <si>
    <t>объём реал.прод.59895693 т.сум</t>
  </si>
  <si>
    <t>1883,0тыс м3 х 90,40сум х 1,15 =195756,7т сум</t>
  </si>
  <si>
    <t>59895693т сум х 1,6 % =958331,1 т сум</t>
  </si>
  <si>
    <t>на 1270 тыс дал</t>
  </si>
  <si>
    <t xml:space="preserve">1.Аттестация рабочих мест по условиям труда и травмоопасности оборудования </t>
  </si>
  <si>
    <t>по Янгиюльскому АО "BIOKIMYO" на 2017 год</t>
  </si>
  <si>
    <t>______________2016г</t>
  </si>
  <si>
    <t xml:space="preserve"> Зам. главного бухгалтера</t>
  </si>
  <si>
    <t xml:space="preserve">                                       Зам. главного бухгалтера                                           К.А.Меметова           </t>
  </si>
  <si>
    <t>1. Пудн- прибыль до уплаты налога на прибыль (гр 5, стр 240 или убыток со знаком минус гр 6 стр240 формы№2 " Отчет о финансовых результатах")</t>
  </si>
  <si>
    <t>1 квартал 2017г</t>
  </si>
  <si>
    <t>УТВЕРЖДЕНО</t>
  </si>
  <si>
    <t xml:space="preserve"> УТВЕРЖДАЮ </t>
  </si>
  <si>
    <t>на заседании Наблюдательного Совета</t>
  </si>
  <si>
    <t>Протокол № _____  от "______" ____________ 2016г.</t>
  </si>
  <si>
    <t>___________________С.С.Шамшиев</t>
  </si>
  <si>
    <t>Председатель Наблюдательного совета Э.Уралов</t>
  </si>
  <si>
    <t>"______"_____________2016.г.</t>
  </si>
  <si>
    <t xml:space="preserve">Комплекс мероприятий </t>
  </si>
  <si>
    <t>по  модернизации и реконструкции действующих производств АО «BIOKIMYO» на 2017 год</t>
  </si>
  <si>
    <t>Мероприятия</t>
  </si>
  <si>
    <t>Цель              мероприятий</t>
  </si>
  <si>
    <t>Подразделение</t>
  </si>
  <si>
    <t>Ориентировочная сумма проекта</t>
  </si>
  <si>
    <t>Источники финасирования</t>
  </si>
  <si>
    <t>Срок реализации</t>
  </si>
  <si>
    <t>Собственные средства</t>
  </si>
  <si>
    <t>Кредиты  банков</t>
  </si>
  <si>
    <t>Приобрести газовый ультразвуковой счетчик   СГУ 2-300  - 1 шт.</t>
  </si>
  <si>
    <t>Модернизация</t>
  </si>
  <si>
    <t>Локально очистные сооружения</t>
  </si>
  <si>
    <t>1-квартал</t>
  </si>
  <si>
    <t>Ремонт  теплоизоляции  паровых труб  в отделении засевных дрожжей и бродильном отделении  длинной 100 м.</t>
  </si>
  <si>
    <t>Строительные работы</t>
  </si>
  <si>
    <t>ПЭСЗ</t>
  </si>
  <si>
    <t>Прокладка 3х канализационных линий сброса</t>
  </si>
  <si>
    <t>Общезаводские расходы</t>
  </si>
  <si>
    <t>Итого 1 квартал</t>
  </si>
  <si>
    <t xml:space="preserve">Приобретение насосных агрегатов   2 ЦГ 25/ 50К -5,5  - У 2   - 2 шт.  </t>
  </si>
  <si>
    <t>Склад спирта</t>
  </si>
  <si>
    <t>2-квартал</t>
  </si>
  <si>
    <t xml:space="preserve">Приозвести реконструкцию  вторичного отстойника  </t>
  </si>
  <si>
    <t>Приобрести Автоматическое  регулирование устройства компенсации реактивной мощности</t>
  </si>
  <si>
    <t>Автотракторный   бокс площадью 100 кв.м</t>
  </si>
  <si>
    <t>Автотранспортный цех</t>
  </si>
  <si>
    <t xml:space="preserve"> Обработка  деревянных конструкций  противопожарным составом- 2000 кв.м. </t>
  </si>
  <si>
    <t xml:space="preserve">Реконструкция  внутренней  системы отопления  </t>
  </si>
  <si>
    <t>Административный корпус</t>
  </si>
  <si>
    <t>Итого 2 квартал</t>
  </si>
  <si>
    <t xml:space="preserve">Приобретение дробилки    1 шт.                                            </t>
  </si>
  <si>
    <t>3-квартал</t>
  </si>
  <si>
    <t xml:space="preserve">Приобретение зерночистительного сепаратора     1 шт      </t>
  </si>
  <si>
    <t>Приобретение электродвигателя  мощностью  200  квт/час  1500 об/мин   - 1 шт.</t>
  </si>
  <si>
    <t>Оборотное водоснабжение</t>
  </si>
  <si>
    <t>Внутризаводские и внешние сети теплоизоляции    длинной 300м.</t>
  </si>
  <si>
    <t>Теплоизоляция труб отопления</t>
  </si>
  <si>
    <t>Общезаводские трубопроводы</t>
  </si>
  <si>
    <t xml:space="preserve">Строительство навеса  над бродильными чанами </t>
  </si>
  <si>
    <t>Асфальтирование  подъездных дорог</t>
  </si>
  <si>
    <t>Ремонт крыш</t>
  </si>
  <si>
    <t>Итого 3 квартал</t>
  </si>
  <si>
    <t>Строительство цеха по сушке овощей</t>
  </si>
  <si>
    <t>Цех по сущке сельхозпродукции</t>
  </si>
  <si>
    <t>4-квартал</t>
  </si>
  <si>
    <r>
      <t>Приобрести эл.двигатели для вентилятора градирни  ВГ-50 эл.двигатель типа ВАСО14-16-32 частота вращения раб.колеса 2,97 С</t>
    </r>
    <r>
      <rPr>
        <vertAlign val="superscript"/>
        <sz val="10"/>
        <color indexed="8"/>
        <rFont val="Times New Roman"/>
        <family val="1"/>
      </rPr>
      <t>-1</t>
    </r>
    <r>
      <rPr>
        <sz val="12"/>
        <color indexed="8"/>
        <rFont val="Times New Roman"/>
        <family val="1"/>
      </rPr>
      <t xml:space="preserve"> -37-40 кВт.120-150 об/мин. - 3  шт.</t>
    </r>
  </si>
  <si>
    <t>Приобретение насосного агрегата  З 160-29 (по результатам техаудита)</t>
  </si>
  <si>
    <t>Приобретение насосного агрегата  ФГ 450-22 ,5 (по результатом техаудита))</t>
  </si>
  <si>
    <t>Цех водоснабжения</t>
  </si>
  <si>
    <t>Ремонт зданий цехов</t>
  </si>
  <si>
    <t>Приобретение спецтранспорта-пожарная машина</t>
  </si>
  <si>
    <t>Итого 4 квартал</t>
  </si>
  <si>
    <t>ВСЕГО:</t>
  </si>
  <si>
    <t xml:space="preserve"> Директор по производству </t>
  </si>
  <si>
    <t>Ш.Э.Мирзаев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</si>
</sst>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[Red]\(&quot;$&quot;#,##0\)"/>
    <numFmt numFmtId="181" formatCode="&quot;$&quot;#,##0.00_);[Red]\(&quot;$&quot;#,##0.00\)"/>
    <numFmt numFmtId="182" formatCode="_-* #,##0\ &quot;cум.&quot;_-;\-* #,##0\ &quot;cум.&quot;_-;_-* &quot;-&quot;\ &quot;cум.&quot;_-;_-@_-"/>
    <numFmt numFmtId="183" formatCode="_-* #,##0\ _c_у_м_._-;\-* #,##0\ _c_у_м_._-;_-* &quot;-&quot;\ _c_у_м_._-;_-@_-"/>
    <numFmt numFmtId="184" formatCode="_-* #,##0.00\ &quot;cум.&quot;_-;\-* #,##0.00\ &quot;cум.&quot;_-;_-* &quot;-&quot;??\ &quot;cум.&quot;_-;_-@_-"/>
    <numFmt numFmtId="185" formatCode="_-* #,##0.00\ _c_у_м_._-;\-* #,##0.00\ _c_у_м_._-;_-* &quot;-&quot;??\ _c_у_м_._-;_-@_-"/>
    <numFmt numFmtId="186" formatCode="#,##0.0"/>
    <numFmt numFmtId="187" formatCode="#,##0.0_ ;[Red]\-#,##0.0\ "/>
    <numFmt numFmtId="188" formatCode="#,##0_ ;[Red]\-#,##0\ "/>
    <numFmt numFmtId="189" formatCode="#,##0.00;[Red]\(#,##0.00\)"/>
    <numFmt numFmtId="190" formatCode="_-* #,##0_р_._-;\-* #,##0_р_._-;_-* &quot;-&quot;??_р_._-;_-@_-"/>
    <numFmt numFmtId="191" formatCode="_-* #,##0.00[$€-1]_-;\-* #,##0.00[$€-1]_-;_-* &quot;-&quot;??[$€-1]_-"/>
    <numFmt numFmtId="192" formatCode="_(* #,##0.00_);_(* \(#,##0.00\);_(* &quot;-&quot;??_);_(@_)"/>
    <numFmt numFmtId="193" formatCode="0.000"/>
    <numFmt numFmtId="194" formatCode="0.0"/>
    <numFmt numFmtId="195" formatCode="_-* #,##0.0_р_._-;\-* #,##0.0_р_._-;_-* &quot;-&quot;??_р_._-;_-@_-"/>
    <numFmt numFmtId="196" formatCode="0.0%"/>
    <numFmt numFmtId="197" formatCode="#,##0__;[Red]\-#,##0__;"/>
    <numFmt numFmtId="198" formatCode="#,##0.0000"/>
    <numFmt numFmtId="199" formatCode="000"/>
    <numFmt numFmtId="200" formatCode="000&quot; &quot;"/>
    <numFmt numFmtId="201" formatCode="_-* #,##0\ _c_у_м_._-;\-* #,##0\ _c_у_м_._-;_-* &quot;-&quot;??\ _c_у_м_._-;_-@_-"/>
    <numFmt numFmtId="202" formatCode="_-* #,##0.000_р_._-;\-* #,##0.000_р_._-;_-* &quot;-&quot;??_р_._-;_-@_-"/>
    <numFmt numFmtId="203" formatCode="_-* #,##0.0000_р_._-;\-* #,##0.0000_р_._-;_-* &quot;-&quot;??_р_._-;_-@_-"/>
    <numFmt numFmtId="204" formatCode="_-* #,##0.0_-;\-* #,##0.0_-;_-* &quot;-&quot;?_-;_-@_-"/>
    <numFmt numFmtId="205" formatCode="0.0000"/>
    <numFmt numFmtId="206" formatCode="#,##0.000"/>
    <numFmt numFmtId="207" formatCode="0.00000000"/>
    <numFmt numFmtId="208" formatCode="0.0000000"/>
    <numFmt numFmtId="209" formatCode="0.000000"/>
    <numFmt numFmtId="210" formatCode="0.00000"/>
  </numFmts>
  <fonts count="1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돋움"/>
      <family val="3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8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28"/>
      <name val="Arial Cyr"/>
      <family val="2"/>
    </font>
    <font>
      <b/>
      <sz val="22"/>
      <name val="Arial Cyr"/>
      <family val="0"/>
    </font>
    <font>
      <sz val="22"/>
      <name val="Arial Cyr"/>
      <family val="2"/>
    </font>
    <font>
      <b/>
      <sz val="20"/>
      <name val="Arial Cyr"/>
      <family val="2"/>
    </font>
    <font>
      <b/>
      <sz val="24"/>
      <name val="Arial Cyr"/>
      <family val="2"/>
    </font>
    <font>
      <b/>
      <sz val="9"/>
      <name val="Arial Cyr"/>
      <family val="0"/>
    </font>
    <font>
      <sz val="11"/>
      <name val="Arial Cyr"/>
      <family val="2"/>
    </font>
    <font>
      <sz val="14"/>
      <name val="Arial Cyr"/>
      <family val="2"/>
    </font>
    <font>
      <b/>
      <sz val="1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7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sz val="14"/>
      <name val="Arial"/>
      <family val="2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b/>
      <i/>
      <sz val="8"/>
      <name val="Arial Cyr"/>
      <family val="0"/>
    </font>
    <font>
      <b/>
      <sz val="12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4"/>
      <color indexed="8"/>
      <name val="Calibri"/>
      <family val="2"/>
    </font>
    <font>
      <b/>
      <sz val="12"/>
      <color indexed="9"/>
      <name val="Arial Cyr"/>
      <family val="0"/>
    </font>
    <font>
      <sz val="12"/>
      <color indexed="9"/>
      <name val="Arial Cyr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56"/>
      <name val="Arial Cyr"/>
      <family val="0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Arial Cyr"/>
      <family val="0"/>
    </font>
    <font>
      <sz val="12"/>
      <color theme="0"/>
      <name val="Arial Cyr"/>
      <family val="0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rgb="FF002060"/>
      <name val="Arial Cyr"/>
      <family val="0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0" fillId="3" borderId="0" applyNumberFormat="0" applyBorder="0" applyAlignment="0" applyProtection="0"/>
    <xf numFmtId="0" fontId="10" fillId="20" borderId="1" applyNumberFormat="0" applyAlignment="0" applyProtection="0"/>
    <xf numFmtId="0" fontId="16" fillId="21" borderId="2" applyNumberFormat="0" applyAlignment="0" applyProtection="0"/>
    <xf numFmtId="18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6" fillId="0" borderId="0" applyFont="0" applyFill="0" applyProtection="0">
      <alignment horizontal="center"/>
    </xf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>
      <alignment/>
      <protection/>
    </xf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8" applyNumberFormat="0" applyAlignment="0" applyProtection="0"/>
    <xf numFmtId="0" fontId="9" fillId="20" borderId="8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0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10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</cellStyleXfs>
  <cellXfs count="1544">
    <xf numFmtId="0" fontId="0" fillId="0" borderId="0" xfId="0" applyAlignment="1">
      <alignment/>
    </xf>
    <xf numFmtId="0" fontId="29" fillId="0" borderId="0" xfId="0" applyFont="1" applyFill="1" applyBorder="1" applyAlignment="1">
      <alignment vertical="center" wrapText="1"/>
    </xf>
    <xf numFmtId="186" fontId="30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wrapText="1"/>
    </xf>
    <xf numFmtId="0" fontId="29" fillId="24" borderId="0" xfId="0" applyFont="1" applyFill="1" applyBorder="1" applyAlignment="1">
      <alignment wrapText="1"/>
    </xf>
    <xf numFmtId="0" fontId="27" fillId="24" borderId="10" xfId="0" applyFont="1" applyFill="1" applyBorder="1" applyAlignment="1">
      <alignment horizontal="left" vertical="center" wrapText="1"/>
    </xf>
    <xf numFmtId="188" fontId="27" fillId="24" borderId="10" xfId="0" applyNumberFormat="1" applyFont="1" applyFill="1" applyBorder="1" applyAlignment="1">
      <alignment horizontal="center" vertical="center" wrapText="1"/>
    </xf>
    <xf numFmtId="0" fontId="29" fillId="24" borderId="10" xfId="190" applyFont="1" applyFill="1" applyBorder="1" applyAlignment="1">
      <alignment vertical="center" wrapText="1"/>
      <protection/>
    </xf>
    <xf numFmtId="188" fontId="27" fillId="24" borderId="0" xfId="0" applyNumberFormat="1" applyFont="1" applyFill="1" applyBorder="1" applyAlignment="1">
      <alignment vertical="center" wrapText="1"/>
    </xf>
    <xf numFmtId="187" fontId="27" fillId="24" borderId="0" xfId="0" applyNumberFormat="1" applyFont="1" applyFill="1" applyBorder="1" applyAlignment="1">
      <alignment horizontal="left" vertical="center" wrapText="1"/>
    </xf>
    <xf numFmtId="188" fontId="27" fillId="24" borderId="10" xfId="0" applyNumberFormat="1" applyFont="1" applyFill="1" applyBorder="1" applyAlignment="1">
      <alignment vertical="center" wrapText="1"/>
    </xf>
    <xf numFmtId="188" fontId="29" fillId="24" borderId="10" xfId="0" applyNumberFormat="1" applyFont="1" applyFill="1" applyBorder="1" applyAlignment="1">
      <alignment vertical="center" wrapText="1"/>
    </xf>
    <xf numFmtId="0" fontId="27" fillId="24" borderId="0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 vertical="center" wrapText="1"/>
    </xf>
    <xf numFmtId="0" fontId="32" fillId="24" borderId="0" xfId="143" applyFont="1" applyFill="1" applyAlignment="1">
      <alignment vertical="center" wrapText="1"/>
      <protection/>
    </xf>
    <xf numFmtId="0" fontId="101" fillId="24" borderId="0" xfId="143" applyFill="1" applyAlignment="1">
      <alignment vertical="center"/>
      <protection/>
    </xf>
    <xf numFmtId="0" fontId="32" fillId="24" borderId="0" xfId="143" applyFont="1" applyFill="1" applyAlignment="1">
      <alignment horizontal="center" vertical="center" wrapText="1"/>
      <protection/>
    </xf>
    <xf numFmtId="0" fontId="101" fillId="24" borderId="0" xfId="143" applyFill="1">
      <alignment/>
      <protection/>
    </xf>
    <xf numFmtId="10" fontId="4" fillId="24" borderId="0" xfId="198" applyNumberFormat="1" applyFont="1" applyFill="1" applyAlignment="1">
      <alignment vertical="center"/>
    </xf>
    <xf numFmtId="49" fontId="34" fillId="24" borderId="0" xfId="186" applyNumberFormat="1" applyFont="1" applyFill="1" applyAlignment="1">
      <alignment wrapText="1"/>
      <protection/>
    </xf>
    <xf numFmtId="0" fontId="34" fillId="24" borderId="0" xfId="186" applyFont="1" applyFill="1" applyAlignment="1">
      <alignment wrapText="1"/>
      <protection/>
    </xf>
    <xf numFmtId="0" fontId="33" fillId="24" borderId="10" xfId="189" applyFont="1" applyFill="1" applyBorder="1" applyAlignment="1">
      <alignment horizontal="center" vertical="center" wrapText="1"/>
      <protection/>
    </xf>
    <xf numFmtId="0" fontId="34" fillId="24" borderId="0" xfId="189" applyFont="1" applyFill="1" applyAlignment="1">
      <alignment wrapText="1"/>
      <protection/>
    </xf>
    <xf numFmtId="0" fontId="34" fillId="24" borderId="10" xfId="186" applyFont="1" applyFill="1" applyBorder="1" applyAlignment="1">
      <alignment horizontal="left" vertical="center" wrapText="1"/>
      <protection/>
    </xf>
    <xf numFmtId="0" fontId="34" fillId="24" borderId="0" xfId="186" applyFont="1" applyFill="1" applyAlignment="1">
      <alignment horizontal="left" vertical="top" wrapText="1"/>
      <protection/>
    </xf>
    <xf numFmtId="0" fontId="34" fillId="24" borderId="0" xfId="186" applyFont="1" applyFill="1" applyAlignment="1">
      <alignment horizontal="center" wrapText="1"/>
      <protection/>
    </xf>
    <xf numFmtId="0" fontId="41" fillId="24" borderId="0" xfId="0" applyFont="1" applyFill="1" applyBorder="1" applyAlignment="1">
      <alignment wrapText="1"/>
    </xf>
    <xf numFmtId="0" fontId="30" fillId="0" borderId="0" xfId="188" applyFont="1" applyFill="1" applyAlignment="1">
      <alignment horizontal="left"/>
      <protection/>
    </xf>
    <xf numFmtId="0" fontId="31" fillId="0" borderId="0" xfId="188" applyNumberFormat="1" applyFont="1" applyFill="1" applyAlignment="1">
      <alignment horizontal="left" wrapText="1"/>
      <protection/>
    </xf>
    <xf numFmtId="0" fontId="37" fillId="0" borderId="0" xfId="188" applyAlignment="1">
      <alignment horizontal="left"/>
      <protection/>
    </xf>
    <xf numFmtId="3" fontId="34" fillId="0" borderId="0" xfId="188" applyNumberFormat="1" applyFont="1" applyFill="1" applyAlignment="1">
      <alignment horizontal="left"/>
      <protection/>
    </xf>
    <xf numFmtId="0" fontId="29" fillId="0" borderId="0" xfId="188" applyFont="1" applyFill="1" applyAlignment="1">
      <alignment horizontal="right"/>
      <protection/>
    </xf>
    <xf numFmtId="3" fontId="34" fillId="0" borderId="10" xfId="188" applyNumberFormat="1" applyFont="1" applyFill="1" applyBorder="1" applyAlignment="1">
      <alignment horizontal="center" vertical="center"/>
      <protection/>
    </xf>
    <xf numFmtId="0" fontId="31" fillId="0" borderId="10" xfId="188" applyNumberFormat="1" applyFont="1" applyFill="1" applyBorder="1" applyAlignment="1">
      <alignment horizontal="center" vertical="center" wrapText="1"/>
      <protection/>
    </xf>
    <xf numFmtId="3" fontId="33" fillId="0" borderId="10" xfId="188" applyNumberFormat="1" applyFont="1" applyFill="1" applyBorder="1" applyAlignment="1">
      <alignment horizontal="center" vertical="center" wrapText="1"/>
      <protection/>
    </xf>
    <xf numFmtId="0" fontId="30" fillId="0" borderId="10" xfId="188" applyNumberFormat="1" applyFont="1" applyFill="1" applyBorder="1" applyAlignment="1">
      <alignment horizontal="centerContinuous" vertical="center"/>
      <protection/>
    </xf>
    <xf numFmtId="1" fontId="30" fillId="0" borderId="10" xfId="188" applyNumberFormat="1" applyFont="1" applyFill="1" applyBorder="1" applyAlignment="1">
      <alignment horizontal="center" vertical="center"/>
      <protection/>
    </xf>
    <xf numFmtId="0" fontId="30" fillId="0" borderId="10" xfId="188" applyFont="1" applyFill="1" applyBorder="1" applyAlignment="1">
      <alignment horizontal="left"/>
      <protection/>
    </xf>
    <xf numFmtId="0" fontId="30" fillId="0" borderId="10" xfId="188" applyFont="1" applyFill="1" applyBorder="1" applyAlignment="1">
      <alignment horizontal="left" vertical="center"/>
      <protection/>
    </xf>
    <xf numFmtId="3" fontId="34" fillId="0" borderId="10" xfId="188" applyNumberFormat="1" applyFont="1" applyFill="1" applyBorder="1" applyAlignment="1">
      <alignment horizontal="left" vertical="center"/>
      <protection/>
    </xf>
    <xf numFmtId="199" fontId="30" fillId="0" borderId="10" xfId="188" applyNumberFormat="1" applyFont="1" applyFill="1" applyBorder="1" applyAlignment="1">
      <alignment horizontal="center" vertical="center"/>
      <protection/>
    </xf>
    <xf numFmtId="0" fontId="30" fillId="0" borderId="11" xfId="188" applyNumberFormat="1" applyFont="1" applyFill="1" applyBorder="1" applyAlignment="1">
      <alignment horizontal="justify" vertical="center" wrapText="1"/>
      <protection/>
    </xf>
    <xf numFmtId="0" fontId="31" fillId="0" borderId="11" xfId="188" applyNumberFormat="1" applyFont="1" applyFill="1" applyBorder="1" applyAlignment="1">
      <alignment horizontal="justify" vertical="center" wrapText="1"/>
      <protection/>
    </xf>
    <xf numFmtId="0" fontId="30" fillId="0" borderId="10" xfId="188" applyNumberFormat="1" applyFont="1" applyFill="1" applyBorder="1" applyAlignment="1">
      <alignment horizontal="center" vertical="center"/>
      <protection/>
    </xf>
    <xf numFmtId="3" fontId="30" fillId="0" borderId="10" xfId="188" applyNumberFormat="1" applyFont="1" applyFill="1" applyBorder="1" applyAlignment="1">
      <alignment horizontal="center" vertical="center"/>
      <protection/>
    </xf>
    <xf numFmtId="3" fontId="33" fillId="0" borderId="10" xfId="188" applyNumberFormat="1" applyFont="1" applyFill="1" applyBorder="1" applyAlignment="1">
      <alignment horizontal="center" vertical="center"/>
      <protection/>
    </xf>
    <xf numFmtId="0" fontId="30" fillId="0" borderId="12" xfId="188" applyNumberFormat="1" applyFont="1" applyFill="1" applyBorder="1" applyAlignment="1">
      <alignment horizontal="justify" vertical="center" wrapText="1"/>
      <protection/>
    </xf>
    <xf numFmtId="1" fontId="31" fillId="0" borderId="10" xfId="188" applyNumberFormat="1" applyFont="1" applyFill="1" applyBorder="1" applyAlignment="1">
      <alignment horizontal="center" vertical="center"/>
      <protection/>
    </xf>
    <xf numFmtId="0" fontId="30" fillId="0" borderId="0" xfId="188" applyFont="1" applyFill="1" applyAlignment="1">
      <alignment horizontal="left" vertical="center"/>
      <protection/>
    </xf>
    <xf numFmtId="3" fontId="7" fillId="0" borderId="0" xfId="188" applyNumberFormat="1" applyFont="1" applyFill="1" applyAlignment="1">
      <alignment horizontal="left"/>
      <protection/>
    </xf>
    <xf numFmtId="0" fontId="27" fillId="0" borderId="0" xfId="188" applyFont="1" applyFill="1" applyAlignment="1">
      <alignment horizontal="left"/>
      <protection/>
    </xf>
    <xf numFmtId="0" fontId="37" fillId="0" borderId="0" xfId="188" applyNumberFormat="1" applyAlignment="1">
      <alignment horizontal="left"/>
      <protection/>
    </xf>
    <xf numFmtId="1" fontId="38" fillId="0" borderId="10" xfId="188" applyNumberFormat="1" applyFont="1" applyBorder="1" applyAlignment="1">
      <alignment horizontal="center" vertical="center"/>
      <protection/>
    </xf>
    <xf numFmtId="0" fontId="37" fillId="0" borderId="10" xfId="188" applyNumberFormat="1" applyFont="1" applyBorder="1" applyAlignment="1">
      <alignment horizontal="left" wrapText="1"/>
      <protection/>
    </xf>
    <xf numFmtId="199" fontId="37" fillId="0" borderId="10" xfId="188" applyNumberFormat="1" applyFont="1" applyBorder="1" applyAlignment="1">
      <alignment horizontal="center" vertical="center"/>
      <protection/>
    </xf>
    <xf numFmtId="3" fontId="37" fillId="0" borderId="10" xfId="188" applyNumberFormat="1" applyFont="1" applyBorder="1" applyAlignment="1">
      <alignment horizontal="center" vertical="center"/>
      <protection/>
    </xf>
    <xf numFmtId="0" fontId="38" fillId="0" borderId="10" xfId="188" applyNumberFormat="1" applyFont="1" applyBorder="1" applyAlignment="1">
      <alignment horizontal="left" wrapText="1"/>
      <protection/>
    </xf>
    <xf numFmtId="199" fontId="38" fillId="0" borderId="10" xfId="188" applyNumberFormat="1" applyFont="1" applyBorder="1" applyAlignment="1">
      <alignment horizontal="center" vertical="center"/>
      <protection/>
    </xf>
    <xf numFmtId="3" fontId="38" fillId="0" borderId="10" xfId="188" applyNumberFormat="1" applyFont="1" applyBorder="1" applyAlignment="1">
      <alignment horizontal="center" vertical="center"/>
      <protection/>
    </xf>
    <xf numFmtId="200" fontId="38" fillId="0" borderId="10" xfId="188" applyNumberFormat="1" applyFont="1" applyBorder="1" applyAlignment="1">
      <alignment horizontal="center" vertical="center"/>
      <protection/>
    </xf>
    <xf numFmtId="200" fontId="37" fillId="0" borderId="10" xfId="188" applyNumberFormat="1" applyFont="1" applyBorder="1" applyAlignment="1">
      <alignment horizontal="center" vertical="center"/>
      <protection/>
    </xf>
    <xf numFmtId="1" fontId="37" fillId="0" borderId="10" xfId="188" applyNumberFormat="1" applyFont="1" applyBorder="1" applyAlignment="1">
      <alignment horizontal="center" vertical="center"/>
      <protection/>
    </xf>
    <xf numFmtId="0" fontId="46" fillId="0" borderId="0" xfId="188" applyFont="1" applyAlignment="1">
      <alignment horizontal="left"/>
      <protection/>
    </xf>
    <xf numFmtId="3" fontId="46" fillId="0" borderId="0" xfId="188" applyNumberFormat="1" applyFont="1" applyAlignment="1">
      <alignment horizontal="left"/>
      <protection/>
    </xf>
    <xf numFmtId="0" fontId="47" fillId="0" borderId="0" xfId="158" applyFont="1" applyAlignment="1">
      <alignment vertical="center"/>
      <protection/>
    </xf>
    <xf numFmtId="3" fontId="47" fillId="0" borderId="0" xfId="158" applyNumberFormat="1" applyFont="1" applyAlignment="1">
      <alignment vertical="center"/>
      <protection/>
    </xf>
    <xf numFmtId="0" fontId="50" fillId="0" borderId="0" xfId="158" applyFont="1" applyBorder="1" applyAlignment="1">
      <alignment horizontal="left" vertical="center" wrapText="1"/>
      <protection/>
    </xf>
    <xf numFmtId="0" fontId="50" fillId="0" borderId="0" xfId="158" applyFont="1" applyBorder="1" applyAlignment="1">
      <alignment horizontal="left" vertical="center"/>
      <protection/>
    </xf>
    <xf numFmtId="49" fontId="49" fillId="0" borderId="0" xfId="158" applyNumberFormat="1" applyFont="1" applyBorder="1" applyAlignment="1">
      <alignment horizontal="center" vertical="center"/>
      <protection/>
    </xf>
    <xf numFmtId="0" fontId="50" fillId="0" borderId="0" xfId="158" applyFont="1" applyBorder="1" applyAlignment="1">
      <alignment horizontal="center" vertical="center"/>
      <protection/>
    </xf>
    <xf numFmtId="0" fontId="49" fillId="0" borderId="0" xfId="158" applyFont="1" applyBorder="1" applyAlignment="1">
      <alignment horizontal="center" vertical="center"/>
      <protection/>
    </xf>
    <xf numFmtId="0" fontId="50" fillId="0" borderId="0" xfId="158" applyFont="1" applyAlignment="1">
      <alignment horizontal="left" vertical="center" wrapText="1"/>
      <protection/>
    </xf>
    <xf numFmtId="0" fontId="50" fillId="0" borderId="0" xfId="158" applyFont="1" applyAlignment="1">
      <alignment horizontal="left" vertical="center"/>
      <protection/>
    </xf>
    <xf numFmtId="49" fontId="50" fillId="0" borderId="0" xfId="158" applyNumberFormat="1" applyFont="1" applyAlignment="1">
      <alignment horizontal="center" vertical="center"/>
      <protection/>
    </xf>
    <xf numFmtId="0" fontId="50" fillId="0" borderId="0" xfId="158" applyFont="1" applyAlignment="1">
      <alignment horizontal="center" vertical="center"/>
      <protection/>
    </xf>
    <xf numFmtId="0" fontId="50" fillId="0" borderId="0" xfId="158" applyFont="1" applyAlignment="1">
      <alignment vertical="center"/>
      <protection/>
    </xf>
    <xf numFmtId="0" fontId="50" fillId="0" borderId="13" xfId="158" applyFont="1" applyBorder="1" applyAlignment="1">
      <alignment vertical="center"/>
      <protection/>
    </xf>
    <xf numFmtId="0" fontId="37" fillId="0" borderId="10" xfId="188" applyBorder="1" applyAlignment="1">
      <alignment horizontal="left"/>
      <protection/>
    </xf>
    <xf numFmtId="0" fontId="37" fillId="0" borderId="10" xfId="188" applyFill="1" applyBorder="1" applyAlignment="1">
      <alignment horizontal="left"/>
      <protection/>
    </xf>
    <xf numFmtId="0" fontId="42" fillId="24" borderId="0" xfId="0" applyFont="1" applyFill="1" applyBorder="1" applyAlignment="1">
      <alignment horizontal="right" vertical="center" wrapText="1"/>
    </xf>
    <xf numFmtId="0" fontId="38" fillId="0" borderId="10" xfId="188" applyNumberFormat="1" applyFont="1" applyBorder="1" applyAlignment="1">
      <alignment horizontal="center" vertical="center" wrapText="1"/>
      <protection/>
    </xf>
    <xf numFmtId="0" fontId="38" fillId="0" borderId="14" xfId="188" applyNumberFormat="1" applyFont="1" applyBorder="1" applyAlignment="1">
      <alignment horizontal="center" vertical="center" wrapText="1"/>
      <protection/>
    </xf>
    <xf numFmtId="0" fontId="37" fillId="0" borderId="0" xfId="188" applyFont="1" applyAlignment="1">
      <alignment horizontal="right"/>
      <protection/>
    </xf>
    <xf numFmtId="0" fontId="34" fillId="24" borderId="10" xfId="189" applyFont="1" applyFill="1" applyBorder="1" applyAlignment="1">
      <alignment wrapText="1"/>
      <protection/>
    </xf>
    <xf numFmtId="0" fontId="33" fillId="24" borderId="11" xfId="189" applyFont="1" applyFill="1" applyBorder="1" applyAlignment="1">
      <alignment horizontal="center" vertical="center" wrapText="1"/>
      <protection/>
    </xf>
    <xf numFmtId="0" fontId="34" fillId="24" borderId="10" xfId="189" applyFont="1" applyFill="1" applyBorder="1" applyAlignment="1">
      <alignment horizontal="left" vertical="center" wrapText="1"/>
      <protection/>
    </xf>
    <xf numFmtId="0" fontId="30" fillId="24" borderId="0" xfId="186" applyFont="1" applyFill="1" applyAlignment="1">
      <alignment horizontal="right" wrapText="1"/>
      <protection/>
    </xf>
    <xf numFmtId="0" fontId="33" fillId="24" borderId="12" xfId="189" applyFont="1" applyFill="1" applyBorder="1" applyAlignment="1">
      <alignment horizontal="center" vertical="center" wrapText="1"/>
      <protection/>
    </xf>
    <xf numFmtId="0" fontId="52" fillId="24" borderId="14" xfId="186" applyFont="1" applyFill="1" applyBorder="1" applyAlignment="1">
      <alignment horizontal="center" vertical="center" wrapText="1"/>
      <protection/>
    </xf>
    <xf numFmtId="0" fontId="52" fillId="24" borderId="15" xfId="186" applyFont="1" applyFill="1" applyBorder="1" applyAlignment="1">
      <alignment horizontal="center" vertical="center" wrapText="1"/>
      <protection/>
    </xf>
    <xf numFmtId="187" fontId="29" fillId="24" borderId="10" xfId="0" applyNumberFormat="1" applyFont="1" applyFill="1" applyBorder="1" applyAlignment="1">
      <alignment vertical="center" wrapText="1"/>
    </xf>
    <xf numFmtId="0" fontId="27" fillId="24" borderId="10" xfId="0" applyNumberFormat="1" applyFont="1" applyFill="1" applyBorder="1" applyAlignment="1">
      <alignment vertical="center" wrapText="1"/>
    </xf>
    <xf numFmtId="1" fontId="53" fillId="0" borderId="10" xfId="188" applyNumberFormat="1" applyFont="1" applyBorder="1" applyAlignment="1">
      <alignment horizontal="center" vertical="center"/>
      <protection/>
    </xf>
    <xf numFmtId="3" fontId="53" fillId="0" borderId="10" xfId="188" applyNumberFormat="1" applyFont="1" applyBorder="1" applyAlignment="1">
      <alignment horizontal="center" vertical="center"/>
      <protection/>
    </xf>
    <xf numFmtId="0" fontId="53" fillId="0" borderId="10" xfId="188" applyFont="1" applyFill="1" applyBorder="1" applyAlignment="1">
      <alignment horizontal="center"/>
      <protection/>
    </xf>
    <xf numFmtId="199" fontId="53" fillId="0" borderId="10" xfId="188" applyNumberFormat="1" applyFont="1" applyBorder="1" applyAlignment="1">
      <alignment horizontal="center" vertical="center"/>
      <protection/>
    </xf>
    <xf numFmtId="190" fontId="5" fillId="0" borderId="10" xfId="188" applyNumberFormat="1" applyFont="1" applyFill="1" applyBorder="1">
      <alignment/>
      <protection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3" fontId="27" fillId="24" borderId="0" xfId="0" applyNumberFormat="1" applyFont="1" applyFill="1" applyBorder="1" applyAlignment="1">
      <alignment wrapText="1"/>
    </xf>
    <xf numFmtId="188" fontId="27" fillId="0" borderId="10" xfId="0" applyNumberFormat="1" applyFont="1" applyFill="1" applyBorder="1" applyAlignment="1">
      <alignment vertical="center" wrapText="1"/>
    </xf>
    <xf numFmtId="194" fontId="34" fillId="24" borderId="0" xfId="186" applyNumberFormat="1" applyFont="1" applyFill="1" applyAlignment="1">
      <alignment wrapText="1"/>
      <protection/>
    </xf>
    <xf numFmtId="2" fontId="34" fillId="24" borderId="0" xfId="186" applyNumberFormat="1" applyFont="1" applyFill="1" applyAlignment="1">
      <alignment wrapText="1"/>
      <protection/>
    </xf>
    <xf numFmtId="0" fontId="34" fillId="0" borderId="0" xfId="186" applyFont="1" applyFill="1" applyAlignment="1">
      <alignment horizontal="center" wrapText="1"/>
      <protection/>
    </xf>
    <xf numFmtId="0" fontId="34" fillId="0" borderId="0" xfId="186" applyFont="1" applyFill="1" applyAlignment="1">
      <alignment wrapText="1"/>
      <protection/>
    </xf>
    <xf numFmtId="1" fontId="33" fillId="24" borderId="11" xfId="189" applyNumberFormat="1" applyFont="1" applyFill="1" applyBorder="1" applyAlignment="1">
      <alignment horizontal="center" vertical="center" wrapText="1"/>
      <protection/>
    </xf>
    <xf numFmtId="190" fontId="47" fillId="0" borderId="0" xfId="158" applyNumberFormat="1" applyFont="1" applyAlignment="1">
      <alignment vertical="center"/>
      <protection/>
    </xf>
    <xf numFmtId="2" fontId="33" fillId="24" borderId="11" xfId="189" applyNumberFormat="1" applyFont="1" applyFill="1" applyBorder="1" applyAlignment="1">
      <alignment horizontal="center" vertical="center" wrapText="1"/>
      <protection/>
    </xf>
    <xf numFmtId="1" fontId="37" fillId="0" borderId="10" xfId="188" applyNumberFormat="1" applyFont="1" applyFill="1" applyBorder="1" applyAlignment="1">
      <alignment horizontal="center" vertical="center"/>
      <protection/>
    </xf>
    <xf numFmtId="1" fontId="30" fillId="0" borderId="14" xfId="188" applyNumberFormat="1" applyFont="1" applyFill="1" applyBorder="1" applyAlignment="1">
      <alignment horizontal="center" vertical="center"/>
      <protection/>
    </xf>
    <xf numFmtId="199" fontId="31" fillId="0" borderId="10" xfId="188" applyNumberFormat="1" applyFont="1" applyFill="1" applyBorder="1" applyAlignment="1">
      <alignment horizontal="center" vertical="center"/>
      <protection/>
    </xf>
    <xf numFmtId="0" fontId="31" fillId="0" borderId="10" xfId="188" applyNumberFormat="1" applyFont="1" applyFill="1" applyBorder="1" applyAlignment="1">
      <alignment horizontal="left" vertical="center" wrapText="1"/>
      <protection/>
    </xf>
    <xf numFmtId="0" fontId="30" fillId="0" borderId="10" xfId="188" applyNumberFormat="1" applyFont="1" applyFill="1" applyBorder="1" applyAlignment="1">
      <alignment horizontal="justify" vertical="center" wrapText="1"/>
      <protection/>
    </xf>
    <xf numFmtId="0" fontId="31" fillId="0" borderId="10" xfId="188" applyNumberFormat="1" applyFont="1" applyFill="1" applyBorder="1" applyAlignment="1">
      <alignment horizontal="justify" vertical="center" wrapText="1"/>
      <protection/>
    </xf>
    <xf numFmtId="0" fontId="30" fillId="0" borderId="10" xfId="188" applyNumberFormat="1" applyFont="1" applyFill="1" applyBorder="1" applyAlignment="1">
      <alignment horizontal="left" vertical="center" wrapText="1"/>
      <protection/>
    </xf>
    <xf numFmtId="49" fontId="34" fillId="24" borderId="0" xfId="186" applyNumberFormat="1" applyFont="1" applyFill="1" applyBorder="1" applyAlignment="1">
      <alignment wrapText="1"/>
      <protection/>
    </xf>
    <xf numFmtId="3" fontId="37" fillId="0" borderId="0" xfId="188" applyNumberFormat="1" applyAlignment="1">
      <alignment horizontal="left"/>
      <protection/>
    </xf>
    <xf numFmtId="3" fontId="30" fillId="0" borderId="0" xfId="188" applyNumberFormat="1" applyFont="1" applyFill="1" applyAlignment="1">
      <alignment horizontal="left"/>
      <protection/>
    </xf>
    <xf numFmtId="3" fontId="41" fillId="24" borderId="0" xfId="0" applyNumberFormat="1" applyFont="1" applyFill="1" applyBorder="1" applyAlignment="1">
      <alignment wrapText="1"/>
    </xf>
    <xf numFmtId="0" fontId="4" fillId="24" borderId="0" xfId="143" applyFont="1" applyFill="1" applyAlignment="1">
      <alignment vertical="center"/>
      <protection/>
    </xf>
    <xf numFmtId="0" fontId="39" fillId="24" borderId="0" xfId="143" applyFont="1" applyFill="1">
      <alignment/>
      <protection/>
    </xf>
    <xf numFmtId="0" fontId="37" fillId="0" borderId="0" xfId="188" applyFont="1" applyAlignment="1">
      <alignment horizontal="left"/>
      <protection/>
    </xf>
    <xf numFmtId="0" fontId="33" fillId="24" borderId="10" xfId="189" applyFont="1" applyFill="1" applyBorder="1" applyAlignment="1">
      <alignment horizontal="left" vertical="center" wrapText="1"/>
      <protection/>
    </xf>
    <xf numFmtId="188" fontId="27" fillId="24" borderId="16" xfId="0" applyNumberFormat="1" applyFont="1" applyFill="1" applyBorder="1" applyAlignment="1">
      <alignment horizontal="center" vertical="center" wrapText="1"/>
    </xf>
    <xf numFmtId="188" fontId="27" fillId="24" borderId="14" xfId="0" applyNumberFormat="1" applyFont="1" applyFill="1" applyBorder="1" applyAlignment="1">
      <alignment vertical="center" wrapText="1"/>
    </xf>
    <xf numFmtId="187" fontId="29" fillId="24" borderId="14" xfId="0" applyNumberFormat="1" applyFont="1" applyFill="1" applyBorder="1" applyAlignment="1">
      <alignment vertical="center" wrapText="1"/>
    </xf>
    <xf numFmtId="187" fontId="27" fillId="24" borderId="17" xfId="0" applyNumberFormat="1" applyFont="1" applyFill="1" applyBorder="1" applyAlignment="1">
      <alignment vertical="center" wrapText="1"/>
    </xf>
    <xf numFmtId="188" fontId="27" fillId="24" borderId="18" xfId="0" applyNumberFormat="1" applyFont="1" applyFill="1" applyBorder="1" applyAlignment="1">
      <alignment horizontal="center" vertical="center" wrapText="1"/>
    </xf>
    <xf numFmtId="187" fontId="27" fillId="24" borderId="19" xfId="0" applyNumberFormat="1" applyFont="1" applyFill="1" applyBorder="1" applyAlignment="1">
      <alignment vertical="center" wrapText="1"/>
    </xf>
    <xf numFmtId="188" fontId="27" fillId="24" borderId="19" xfId="0" applyNumberFormat="1" applyFont="1" applyFill="1" applyBorder="1" applyAlignment="1">
      <alignment vertical="center" wrapText="1"/>
    </xf>
    <xf numFmtId="188" fontId="27" fillId="24" borderId="19" xfId="0" applyNumberFormat="1" applyFont="1" applyFill="1" applyBorder="1" applyAlignment="1">
      <alignment horizontal="center" vertical="center" wrapText="1"/>
    </xf>
    <xf numFmtId="188" fontId="27" fillId="24" borderId="20" xfId="0" applyNumberFormat="1" applyFont="1" applyFill="1" applyBorder="1" applyAlignment="1">
      <alignment vertical="center" wrapText="1"/>
    </xf>
    <xf numFmtId="187" fontId="29" fillId="24" borderId="20" xfId="0" applyNumberFormat="1" applyFont="1" applyFill="1" applyBorder="1" applyAlignment="1">
      <alignment vertical="center" wrapText="1"/>
    </xf>
    <xf numFmtId="188" fontId="27" fillId="25" borderId="20" xfId="0" applyNumberFormat="1" applyFont="1" applyFill="1" applyBorder="1" applyAlignment="1">
      <alignment vertical="center" wrapText="1"/>
    </xf>
    <xf numFmtId="187" fontId="27" fillId="24" borderId="21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25" borderId="0" xfId="0" applyNumberFormat="1" applyFill="1" applyBorder="1" applyAlignment="1">
      <alignment horizontal="center"/>
    </xf>
    <xf numFmtId="194" fontId="0" fillId="0" borderId="0" xfId="0" applyNumberFormat="1" applyAlignment="1">
      <alignment/>
    </xf>
    <xf numFmtId="0" fontId="37" fillId="0" borderId="18" xfId="188" applyBorder="1" applyAlignment="1">
      <alignment horizontal="left"/>
      <protection/>
    </xf>
    <xf numFmtId="0" fontId="37" fillId="0" borderId="10" xfId="188" applyNumberFormat="1" applyFont="1" applyBorder="1" applyAlignment="1">
      <alignment horizontal="center" vertical="center" wrapText="1"/>
      <protection/>
    </xf>
    <xf numFmtId="0" fontId="37" fillId="0" borderId="19" xfId="188" applyNumberFormat="1" applyFont="1" applyBorder="1" applyAlignment="1">
      <alignment horizontal="center" vertical="center" wrapText="1"/>
      <protection/>
    </xf>
    <xf numFmtId="190" fontId="16" fillId="0" borderId="10" xfId="188" applyNumberFormat="1" applyFont="1" applyFill="1" applyBorder="1">
      <alignment/>
      <protection/>
    </xf>
    <xf numFmtId="0" fontId="37" fillId="0" borderId="19" xfId="188" applyBorder="1" applyAlignment="1">
      <alignment horizontal="left"/>
      <protection/>
    </xf>
    <xf numFmtId="0" fontId="37" fillId="0" borderId="22" xfId="188" applyBorder="1" applyAlignment="1">
      <alignment horizontal="left"/>
      <protection/>
    </xf>
    <xf numFmtId="0" fontId="37" fillId="0" borderId="20" xfId="188" applyNumberFormat="1" applyFont="1" applyBorder="1" applyAlignment="1">
      <alignment horizontal="left" wrapText="1"/>
      <protection/>
    </xf>
    <xf numFmtId="199" fontId="37" fillId="0" borderId="20" xfId="188" applyNumberFormat="1" applyFont="1" applyBorder="1" applyAlignment="1">
      <alignment horizontal="center" vertical="center"/>
      <protection/>
    </xf>
    <xf numFmtId="3" fontId="37" fillId="0" borderId="20" xfId="188" applyNumberFormat="1" applyFont="1" applyBorder="1" applyAlignment="1">
      <alignment horizontal="center" vertical="center"/>
      <protection/>
    </xf>
    <xf numFmtId="190" fontId="16" fillId="0" borderId="20" xfId="188" applyNumberFormat="1" applyFont="1" applyFill="1" applyBorder="1">
      <alignment/>
      <protection/>
    </xf>
    <xf numFmtId="0" fontId="37" fillId="0" borderId="20" xfId="188" applyBorder="1" applyAlignment="1">
      <alignment horizontal="left"/>
      <protection/>
    </xf>
    <xf numFmtId="0" fontId="37" fillId="0" borderId="21" xfId="188" applyBorder="1" applyAlignment="1">
      <alignment horizontal="left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0" xfId="188" applyFont="1" applyAlignment="1">
      <alignment horizontal="left"/>
      <protection/>
    </xf>
    <xf numFmtId="0" fontId="55" fillId="0" borderId="0" xfId="0" applyFont="1" applyAlignment="1">
      <alignment horizontal="left"/>
    </xf>
    <xf numFmtId="1" fontId="56" fillId="25" borderId="0" xfId="0" applyNumberFormat="1" applyFont="1" applyFill="1" applyBorder="1" applyAlignment="1">
      <alignment horizontal="center"/>
    </xf>
    <xf numFmtId="194" fontId="56" fillId="0" borderId="0" xfId="0" applyNumberFormat="1" applyFont="1" applyAlignment="1">
      <alignment/>
    </xf>
    <xf numFmtId="0" fontId="51" fillId="0" borderId="10" xfId="188" applyNumberFormat="1" applyFont="1" applyBorder="1" applyAlignment="1">
      <alignment horizontal="left" wrapText="1"/>
      <protection/>
    </xf>
    <xf numFmtId="1" fontId="59" fillId="0" borderId="10" xfId="188" applyNumberFormat="1" applyFont="1" applyBorder="1" applyAlignment="1">
      <alignment horizontal="center" vertical="center"/>
      <protection/>
    </xf>
    <xf numFmtId="0" fontId="7" fillId="0" borderId="0" xfId="188" applyNumberFormat="1" applyFont="1" applyAlignment="1">
      <alignment horizontal="left"/>
      <protection/>
    </xf>
    <xf numFmtId="0" fontId="7" fillId="0" borderId="0" xfId="188" applyFont="1" applyAlignment="1">
      <alignment horizontal="left"/>
      <protection/>
    </xf>
    <xf numFmtId="0" fontId="0" fillId="0" borderId="0" xfId="0" applyFont="1" applyAlignment="1">
      <alignment/>
    </xf>
    <xf numFmtId="1" fontId="0" fillId="25" borderId="0" xfId="0" applyNumberFormat="1" applyFont="1" applyFill="1" applyBorder="1" applyAlignment="1">
      <alignment horizontal="center"/>
    </xf>
    <xf numFmtId="194" fontId="0" fillId="0" borderId="0" xfId="0" applyNumberFormat="1" applyFont="1" applyAlignment="1">
      <alignment/>
    </xf>
    <xf numFmtId="3" fontId="60" fillId="0" borderId="10" xfId="188" applyNumberFormat="1" applyFont="1" applyBorder="1" applyAlignment="1">
      <alignment horizontal="center"/>
      <protection/>
    </xf>
    <xf numFmtId="1" fontId="60" fillId="0" borderId="10" xfId="188" applyNumberFormat="1" applyFont="1" applyBorder="1" applyAlignment="1">
      <alignment horizontal="center"/>
      <protection/>
    </xf>
    <xf numFmtId="1" fontId="60" fillId="0" borderId="10" xfId="188" applyNumberFormat="1" applyFont="1" applyFill="1" applyBorder="1" applyAlignment="1">
      <alignment horizontal="center"/>
      <protection/>
    </xf>
    <xf numFmtId="1" fontId="61" fillId="0" borderId="10" xfId="188" applyNumberFormat="1" applyFont="1" applyBorder="1" applyAlignment="1">
      <alignment horizontal="center"/>
      <protection/>
    </xf>
    <xf numFmtId="1" fontId="61" fillId="0" borderId="10" xfId="188" applyNumberFormat="1" applyFont="1" applyBorder="1" applyAlignment="1">
      <alignment horizontal="center"/>
      <protection/>
    </xf>
    <xf numFmtId="0" fontId="37" fillId="25" borderId="0" xfId="188" applyFill="1" applyAlignment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25" borderId="0" xfId="0" applyNumberFormat="1" applyFont="1" applyFill="1" applyBorder="1" applyAlignment="1">
      <alignment horizontal="center"/>
    </xf>
    <xf numFmtId="194" fontId="0" fillId="0" borderId="0" xfId="0" applyNumberFormat="1" applyFont="1" applyAlignment="1">
      <alignment/>
    </xf>
    <xf numFmtId="1" fontId="60" fillId="0" borderId="10" xfId="188" applyNumberFormat="1" applyFont="1" applyBorder="1" applyAlignment="1">
      <alignment horizontal="center"/>
      <protection/>
    </xf>
    <xf numFmtId="0" fontId="33" fillId="24" borderId="10" xfId="186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201" fontId="31" fillId="25" borderId="10" xfId="208" applyNumberFormat="1" applyFont="1" applyFill="1" applyBorder="1" applyAlignment="1">
      <alignment horizontal="center" vertical="center" wrapText="1"/>
    </xf>
    <xf numFmtId="201" fontId="30" fillId="25" borderId="10" xfId="208" applyNumberFormat="1" applyFont="1" applyFill="1" applyBorder="1" applyAlignment="1">
      <alignment horizontal="center" vertical="center" wrapText="1"/>
    </xf>
    <xf numFmtId="0" fontId="27" fillId="24" borderId="23" xfId="187" applyFont="1" applyFill="1" applyBorder="1" applyAlignment="1">
      <alignment horizontal="center" vertical="center" wrapText="1"/>
      <protection/>
    </xf>
    <xf numFmtId="0" fontId="27" fillId="24" borderId="24" xfId="0" applyFont="1" applyFill="1" applyBorder="1" applyAlignment="1">
      <alignment horizontal="left" vertical="center" wrapText="1"/>
    </xf>
    <xf numFmtId="0" fontId="27" fillId="24" borderId="24" xfId="187" applyFont="1" applyFill="1" applyBorder="1" applyAlignment="1">
      <alignment horizontal="center" vertical="center" wrapText="1"/>
      <protection/>
    </xf>
    <xf numFmtId="0" fontId="27" fillId="24" borderId="25" xfId="187" applyFont="1" applyFill="1" applyBorder="1" applyAlignment="1">
      <alignment horizontal="center" vertical="center" wrapText="1"/>
      <protection/>
    </xf>
    <xf numFmtId="0" fontId="27" fillId="24" borderId="10" xfId="187" applyFont="1" applyFill="1" applyBorder="1" applyAlignment="1">
      <alignment horizontal="center" vertical="center" wrapText="1"/>
      <protection/>
    </xf>
    <xf numFmtId="0" fontId="27" fillId="24" borderId="26" xfId="187" applyFont="1" applyFill="1" applyBorder="1" applyAlignment="1">
      <alignment horizontal="center" vertical="center" wrapText="1"/>
      <protection/>
    </xf>
    <xf numFmtId="0" fontId="27" fillId="24" borderId="20" xfId="0" applyFont="1" applyFill="1" applyBorder="1" applyAlignment="1">
      <alignment horizontal="left" vertical="center" wrapText="1"/>
    </xf>
    <xf numFmtId="0" fontId="27" fillId="24" borderId="20" xfId="187" applyFont="1" applyFill="1" applyBorder="1" applyAlignment="1">
      <alignment horizontal="center" vertical="center" wrapText="1"/>
      <protection/>
    </xf>
    <xf numFmtId="0" fontId="30" fillId="0" borderId="14" xfId="0" applyFont="1" applyFill="1" applyBorder="1" applyAlignment="1">
      <alignment horizontal="center" vertical="center" wrapText="1"/>
    </xf>
    <xf numFmtId="9" fontId="30" fillId="0" borderId="14" xfId="0" applyNumberFormat="1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right" vertical="center" wrapText="1"/>
    </xf>
    <xf numFmtId="0" fontId="31" fillId="0" borderId="22" xfId="0" applyFont="1" applyFill="1" applyBorder="1" applyAlignment="1">
      <alignment horizontal="center" vertical="center" wrapText="1"/>
    </xf>
    <xf numFmtId="186" fontId="31" fillId="0" borderId="20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3" fontId="30" fillId="0" borderId="17" xfId="0" applyNumberFormat="1" applyFont="1" applyFill="1" applyBorder="1" applyAlignment="1">
      <alignment horizontal="center" vertical="center" wrapText="1"/>
    </xf>
    <xf numFmtId="3" fontId="31" fillId="0" borderId="20" xfId="0" applyNumberFormat="1" applyFont="1" applyFill="1" applyBorder="1" applyAlignment="1">
      <alignment horizontal="center" vertical="center" wrapText="1"/>
    </xf>
    <xf numFmtId="4" fontId="31" fillId="0" borderId="20" xfId="0" applyNumberFormat="1" applyFont="1" applyFill="1" applyBorder="1" applyAlignment="1">
      <alignment horizontal="center" vertical="center" wrapText="1"/>
    </xf>
    <xf numFmtId="3" fontId="31" fillId="0" borderId="21" xfId="0" applyNumberFormat="1" applyFont="1" applyFill="1" applyBorder="1" applyAlignment="1">
      <alignment horizontal="center" vertical="center" wrapText="1"/>
    </xf>
    <xf numFmtId="43" fontId="33" fillId="24" borderId="10" xfId="219" applyFont="1" applyFill="1" applyBorder="1" applyAlignment="1">
      <alignment horizontal="center" vertical="center" wrapText="1"/>
    </xf>
    <xf numFmtId="49" fontId="33" fillId="24" borderId="27" xfId="186" applyNumberFormat="1" applyFont="1" applyFill="1" applyBorder="1" applyAlignment="1">
      <alignment horizontal="center" vertical="center" wrapText="1"/>
      <protection/>
    </xf>
    <xf numFmtId="0" fontId="33" fillId="24" borderId="28" xfId="186" applyFont="1" applyFill="1" applyBorder="1" applyAlignment="1">
      <alignment horizontal="center" vertical="center" wrapText="1"/>
      <protection/>
    </xf>
    <xf numFmtId="0" fontId="36" fillId="24" borderId="29" xfId="186" applyFont="1" applyFill="1" applyBorder="1" applyAlignment="1">
      <alignment horizontal="center" vertical="center" wrapText="1"/>
      <protection/>
    </xf>
    <xf numFmtId="0" fontId="36" fillId="24" borderId="30" xfId="186" applyFont="1" applyFill="1" applyBorder="1" applyAlignment="1">
      <alignment horizontal="center" vertical="center" wrapText="1"/>
      <protection/>
    </xf>
    <xf numFmtId="49" fontId="34" fillId="24" borderId="18" xfId="189" applyNumberFormat="1" applyFont="1" applyFill="1" applyBorder="1" applyAlignment="1">
      <alignment horizontal="center" vertical="center" wrapText="1"/>
      <protection/>
    </xf>
    <xf numFmtId="49" fontId="34" fillId="24" borderId="18" xfId="186" applyNumberFormat="1" applyFont="1" applyFill="1" applyBorder="1" applyAlignment="1">
      <alignment horizontal="center" vertical="center" wrapText="1"/>
      <protection/>
    </xf>
    <xf numFmtId="49" fontId="34" fillId="24" borderId="22" xfId="186" applyNumberFormat="1" applyFont="1" applyFill="1" applyBorder="1" applyAlignment="1">
      <alignment horizontal="center" vertical="center" wrapText="1"/>
      <protection/>
    </xf>
    <xf numFmtId="49" fontId="34" fillId="24" borderId="0" xfId="186" applyNumberFormat="1" applyFont="1" applyFill="1" applyBorder="1" applyAlignment="1">
      <alignment horizontal="center" vertical="center" wrapText="1"/>
      <protection/>
    </xf>
    <xf numFmtId="0" fontId="34" fillId="24" borderId="0" xfId="186" applyFont="1" applyFill="1" applyBorder="1" applyAlignment="1">
      <alignment horizontal="left" vertical="center" wrapText="1"/>
      <protection/>
    </xf>
    <xf numFmtId="0" fontId="34" fillId="24" borderId="0" xfId="186" applyFont="1" applyFill="1" applyBorder="1" applyAlignment="1">
      <alignment horizontal="center" vertical="center" wrapText="1"/>
      <protection/>
    </xf>
    <xf numFmtId="195" fontId="34" fillId="24" borderId="0" xfId="219" applyNumberFormat="1" applyFont="1" applyFill="1" applyBorder="1" applyAlignment="1">
      <alignment horizontal="center" vertical="center" wrapText="1"/>
    </xf>
    <xf numFmtId="0" fontId="34" fillId="24" borderId="0" xfId="189" applyFont="1" applyFill="1" applyBorder="1" applyAlignment="1">
      <alignment wrapText="1"/>
      <protection/>
    </xf>
    <xf numFmtId="0" fontId="33" fillId="24" borderId="20" xfId="186" applyFont="1" applyFill="1" applyBorder="1" applyAlignment="1">
      <alignment horizontal="left" vertical="center" wrapText="1"/>
      <protection/>
    </xf>
    <xf numFmtId="0" fontId="33" fillId="24" borderId="20" xfId="186" applyFont="1" applyFill="1" applyBorder="1" applyAlignment="1">
      <alignment horizontal="center" vertical="center" wrapText="1"/>
      <protection/>
    </xf>
    <xf numFmtId="195" fontId="33" fillId="24" borderId="20" xfId="219" applyNumberFormat="1" applyFont="1" applyFill="1" applyBorder="1" applyAlignment="1">
      <alignment horizontal="center" vertical="center" wrapText="1"/>
    </xf>
    <xf numFmtId="0" fontId="29" fillId="24" borderId="14" xfId="186" applyFont="1" applyFill="1" applyBorder="1" applyAlignment="1">
      <alignment horizontal="center" vertical="center" wrapText="1"/>
      <protection/>
    </xf>
    <xf numFmtId="0" fontId="27" fillId="24" borderId="10" xfId="189" applyFont="1" applyFill="1" applyBorder="1" applyAlignment="1">
      <alignment horizontal="left" vertical="center" wrapText="1"/>
      <protection/>
    </xf>
    <xf numFmtId="0" fontId="29" fillId="24" borderId="20" xfId="186" applyFont="1" applyFill="1" applyBorder="1" applyAlignment="1">
      <alignment horizontal="left" vertical="top" wrapText="1"/>
      <protection/>
    </xf>
    <xf numFmtId="0" fontId="64" fillId="24" borderId="19" xfId="186" applyFont="1" applyFill="1" applyBorder="1" applyAlignment="1">
      <alignment vertical="center" wrapText="1"/>
      <protection/>
    </xf>
    <xf numFmtId="0" fontId="64" fillId="25" borderId="19" xfId="186" applyFont="1" applyFill="1" applyBorder="1" applyAlignment="1">
      <alignment vertical="center" wrapText="1"/>
      <protection/>
    </xf>
    <xf numFmtId="49" fontId="34" fillId="24" borderId="22" xfId="186" applyNumberFormat="1" applyFont="1" applyFill="1" applyBorder="1" applyAlignment="1">
      <alignment wrapText="1"/>
      <protection/>
    </xf>
    <xf numFmtId="0" fontId="29" fillId="24" borderId="21" xfId="186" applyFont="1" applyFill="1" applyBorder="1" applyAlignment="1">
      <alignment vertical="center" wrapText="1"/>
      <protection/>
    </xf>
    <xf numFmtId="0" fontId="56" fillId="0" borderId="20" xfId="0" applyFont="1" applyBorder="1" applyAlignment="1">
      <alignment horizontal="center" vertical="center"/>
    </xf>
    <xf numFmtId="0" fontId="34" fillId="24" borderId="19" xfId="189" applyFont="1" applyFill="1" applyBorder="1" applyAlignment="1">
      <alignment horizontal="center" vertical="center" wrapText="1"/>
      <protection/>
    </xf>
    <xf numFmtId="0" fontId="33" fillId="24" borderId="19" xfId="189" applyFont="1" applyFill="1" applyBorder="1" applyAlignment="1">
      <alignment horizontal="center" vertical="center" wrapText="1"/>
      <protection/>
    </xf>
    <xf numFmtId="1" fontId="33" fillId="24" borderId="19" xfId="189" applyNumberFormat="1" applyFont="1" applyFill="1" applyBorder="1" applyAlignment="1">
      <alignment horizontal="center" vertical="center" wrapText="1"/>
      <protection/>
    </xf>
    <xf numFmtId="49" fontId="34" fillId="24" borderId="22" xfId="189" applyNumberFormat="1" applyFont="1" applyFill="1" applyBorder="1" applyAlignment="1">
      <alignment horizontal="center" vertical="center" wrapText="1"/>
      <protection/>
    </xf>
    <xf numFmtId="49" fontId="34" fillId="24" borderId="20" xfId="189" applyNumberFormat="1" applyFont="1" applyFill="1" applyBorder="1" applyAlignment="1">
      <alignment horizontal="left" vertical="center" wrapText="1"/>
      <protection/>
    </xf>
    <xf numFmtId="1" fontId="33" fillId="24" borderId="21" xfId="189" applyNumberFormat="1" applyFont="1" applyFill="1" applyBorder="1" applyAlignment="1">
      <alignment horizontal="center" vertical="center" wrapText="1"/>
      <protection/>
    </xf>
    <xf numFmtId="0" fontId="33" fillId="25" borderId="11" xfId="189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center" wrapText="1"/>
    </xf>
    <xf numFmtId="0" fontId="33" fillId="24" borderId="20" xfId="186" applyFont="1" applyFill="1" applyBorder="1" applyAlignment="1">
      <alignment horizontal="left" vertical="top" wrapText="1"/>
      <protection/>
    </xf>
    <xf numFmtId="0" fontId="34" fillId="24" borderId="20" xfId="186" applyFont="1" applyFill="1" applyBorder="1" applyAlignment="1">
      <alignment horizontal="center" wrapText="1"/>
      <protection/>
    </xf>
    <xf numFmtId="0" fontId="34" fillId="24" borderId="21" xfId="186" applyFont="1" applyFill="1" applyBorder="1" applyAlignment="1">
      <alignment horizont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30" fillId="24" borderId="0" xfId="186" applyFont="1" applyFill="1" applyAlignment="1">
      <alignment horizontal="right"/>
      <protection/>
    </xf>
    <xf numFmtId="0" fontId="63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201" fontId="27" fillId="0" borderId="14" xfId="208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186" fontId="33" fillId="0" borderId="10" xfId="0" applyNumberFormat="1" applyFont="1" applyFill="1" applyBorder="1" applyAlignment="1">
      <alignment horizontal="center" vertical="center" wrapText="1"/>
    </xf>
    <xf numFmtId="0" fontId="33" fillId="24" borderId="31" xfId="186" applyFont="1" applyFill="1" applyBorder="1" applyAlignment="1">
      <alignment horizontal="center" vertical="center" wrapText="1"/>
      <protection/>
    </xf>
    <xf numFmtId="0" fontId="36" fillId="24" borderId="10" xfId="186" applyFont="1" applyFill="1" applyBorder="1" applyAlignment="1">
      <alignment horizontal="center" vertical="center" wrapText="1"/>
      <protection/>
    </xf>
    <xf numFmtId="0" fontId="36" fillId="24" borderId="31" xfId="153" applyFont="1" applyFill="1" applyBorder="1" applyAlignment="1">
      <alignment horizontal="center" vertical="center" wrapText="1"/>
      <protection/>
    </xf>
    <xf numFmtId="0" fontId="36" fillId="0" borderId="10" xfId="156" applyFont="1" applyFill="1" applyBorder="1" applyAlignment="1">
      <alignment horizontal="center" vertical="center" wrapText="1"/>
      <protection/>
    </xf>
    <xf numFmtId="190" fontId="33" fillId="24" borderId="10" xfId="217" applyNumberFormat="1" applyFont="1" applyFill="1" applyBorder="1" applyAlignment="1">
      <alignment horizontal="center" vertical="center" wrapText="1"/>
    </xf>
    <xf numFmtId="190" fontId="33" fillId="24" borderId="10" xfId="219" applyNumberFormat="1" applyFont="1" applyFill="1" applyBorder="1" applyAlignment="1">
      <alignment horizontal="center" vertical="center" wrapText="1"/>
    </xf>
    <xf numFmtId="190" fontId="34" fillId="24" borderId="10" xfId="217" applyNumberFormat="1" applyFont="1" applyFill="1" applyBorder="1" applyAlignment="1">
      <alignment horizontal="center" vertical="center" wrapText="1"/>
    </xf>
    <xf numFmtId="0" fontId="34" fillId="24" borderId="10" xfId="186" applyFont="1" applyFill="1" applyBorder="1" applyAlignment="1">
      <alignment horizontal="center" vertical="center" wrapText="1"/>
      <protection/>
    </xf>
    <xf numFmtId="43" fontId="34" fillId="24" borderId="10" xfId="219" applyNumberFormat="1" applyFont="1" applyFill="1" applyBorder="1" applyAlignment="1">
      <alignment horizontal="center" vertical="center" wrapText="1"/>
    </xf>
    <xf numFmtId="190" fontId="65" fillId="24" borderId="10" xfId="217" applyNumberFormat="1" applyFont="1" applyFill="1" applyBorder="1" applyAlignment="1">
      <alignment horizontal="center" vertical="center" wrapText="1"/>
    </xf>
    <xf numFmtId="190" fontId="34" fillId="24" borderId="10" xfId="219" applyNumberFormat="1" applyFont="1" applyFill="1" applyBorder="1" applyAlignment="1">
      <alignment horizontal="center" vertical="center" wrapText="1"/>
    </xf>
    <xf numFmtId="194" fontId="33" fillId="0" borderId="10" xfId="0" applyNumberFormat="1" applyFont="1" applyFill="1" applyBorder="1" applyAlignment="1">
      <alignment horizontal="left" vertical="center" wrapText="1"/>
    </xf>
    <xf numFmtId="0" fontId="36" fillId="24" borderId="10" xfId="153" applyFont="1" applyFill="1" applyBorder="1" applyAlignment="1">
      <alignment horizontal="center" vertical="center" wrapText="1"/>
      <protection/>
    </xf>
    <xf numFmtId="194" fontId="34" fillId="0" borderId="10" xfId="0" applyNumberFormat="1" applyFont="1" applyFill="1" applyBorder="1" applyAlignment="1">
      <alignment horizontal="left" vertical="center" wrapText="1"/>
    </xf>
    <xf numFmtId="194" fontId="34" fillId="0" borderId="10" xfId="0" applyNumberFormat="1" applyFont="1" applyFill="1" applyBorder="1" applyAlignment="1">
      <alignment horizontal="center" vertical="center" wrapText="1"/>
    </xf>
    <xf numFmtId="194" fontId="34" fillId="24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65" fillId="24" borderId="10" xfId="153" applyFont="1" applyFill="1" applyBorder="1" applyAlignment="1">
      <alignment horizontal="center" vertical="center" wrapText="1"/>
      <protection/>
    </xf>
    <xf numFmtId="194" fontId="34" fillId="0" borderId="12" xfId="0" applyNumberFormat="1" applyFont="1" applyFill="1" applyBorder="1" applyAlignment="1">
      <alignment horizontal="left" vertical="center" wrapText="1"/>
    </xf>
    <xf numFmtId="0" fontId="34" fillId="0" borderId="12" xfId="190" applyFont="1" applyBorder="1" applyAlignment="1">
      <alignment vertical="center"/>
      <protection/>
    </xf>
    <xf numFmtId="0" fontId="29" fillId="0" borderId="10" xfId="190" applyFont="1" applyBorder="1" applyAlignment="1">
      <alignment vertical="center"/>
      <protection/>
    </xf>
    <xf numFmtId="0" fontId="36" fillId="0" borderId="10" xfId="153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vertical="center" wrapText="1"/>
    </xf>
    <xf numFmtId="0" fontId="34" fillId="0" borderId="11" xfId="185" applyFont="1" applyFill="1" applyBorder="1" applyAlignment="1">
      <alignment vertical="center" wrapText="1"/>
      <protection/>
    </xf>
    <xf numFmtId="0" fontId="33" fillId="0" borderId="11" xfId="185" applyFont="1" applyFill="1" applyBorder="1" applyAlignment="1">
      <alignment vertical="center" wrapText="1"/>
      <protection/>
    </xf>
    <xf numFmtId="0" fontId="33" fillId="0" borderId="10" xfId="185" applyFont="1" applyFill="1" applyBorder="1" applyAlignment="1">
      <alignment vertical="center" wrapText="1"/>
      <protection/>
    </xf>
    <xf numFmtId="10" fontId="33" fillId="24" borderId="10" xfId="198" applyNumberFormat="1" applyFont="1" applyFill="1" applyBorder="1" applyAlignment="1">
      <alignment horizontal="center" vertical="center" wrapText="1"/>
    </xf>
    <xf numFmtId="0" fontId="32" fillId="24" borderId="0" xfId="155" applyFont="1" applyFill="1" applyBorder="1" applyAlignment="1">
      <alignment horizontal="center" vertical="center" wrapText="1"/>
      <protection/>
    </xf>
    <xf numFmtId="14" fontId="32" fillId="24" borderId="0" xfId="155" applyNumberFormat="1" applyFont="1" applyFill="1" applyBorder="1" applyAlignment="1">
      <alignment horizontal="center" vertical="center" wrapText="1"/>
      <protection/>
    </xf>
    <xf numFmtId="3" fontId="30" fillId="25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9" fillId="24" borderId="14" xfId="0" applyFont="1" applyFill="1" applyBorder="1" applyAlignment="1">
      <alignment horizontal="center" vertical="center" wrapText="1"/>
    </xf>
    <xf numFmtId="49" fontId="33" fillId="24" borderId="32" xfId="186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25" borderId="21" xfId="0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25" borderId="32" xfId="0" applyFill="1" applyBorder="1" applyAlignment="1">
      <alignment vertical="top" wrapText="1"/>
    </xf>
    <xf numFmtId="0" fontId="0" fillId="25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25" borderId="18" xfId="0" applyFill="1" applyBorder="1" applyAlignment="1">
      <alignment vertical="top" wrapText="1"/>
    </xf>
    <xf numFmtId="194" fontId="0" fillId="25" borderId="10" xfId="0" applyNumberFormat="1" applyFill="1" applyBorder="1" applyAlignment="1">
      <alignment horizontal="center"/>
    </xf>
    <xf numFmtId="194" fontId="0" fillId="25" borderId="19" xfId="0" applyNumberForma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10" xfId="0" applyFill="1" applyBorder="1" applyAlignment="1">
      <alignment horizontal="center" vertical="top" wrapText="1"/>
    </xf>
    <xf numFmtId="0" fontId="0" fillId="25" borderId="10" xfId="0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25" borderId="22" xfId="0" applyFill="1" applyBorder="1" applyAlignment="1">
      <alignment vertical="top" wrapText="1"/>
    </xf>
    <xf numFmtId="0" fontId="0" fillId="25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3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1" fillId="25" borderId="18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center"/>
    </xf>
    <xf numFmtId="1" fontId="1" fillId="25" borderId="19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1" fontId="0" fillId="25" borderId="19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25" borderId="20" xfId="0" applyNumberFormat="1" applyFill="1" applyBorder="1" applyAlignment="1">
      <alignment horizontal="center"/>
    </xf>
    <xf numFmtId="1" fontId="0" fillId="25" borderId="21" xfId="0" applyNumberFormat="1" applyFill="1" applyBorder="1" applyAlignment="1">
      <alignment horizontal="center"/>
    </xf>
    <xf numFmtId="0" fontId="0" fillId="25" borderId="16" xfId="0" applyFill="1" applyBorder="1" applyAlignment="1">
      <alignment vertical="top" wrapText="1"/>
    </xf>
    <xf numFmtId="0" fontId="0" fillId="25" borderId="14" xfId="0" applyFill="1" applyBorder="1" applyAlignment="1">
      <alignment horizontal="center"/>
    </xf>
    <xf numFmtId="1" fontId="0" fillId="25" borderId="17" xfId="0" applyNumberForma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10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55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7" fillId="0" borderId="0" xfId="0" applyFont="1" applyAlignment="1">
      <alignment/>
    </xf>
    <xf numFmtId="0" fontId="75" fillId="0" borderId="0" xfId="0" applyFont="1" applyAlignment="1">
      <alignment/>
    </xf>
    <xf numFmtId="0" fontId="25" fillId="0" borderId="2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73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194" fontId="73" fillId="25" borderId="10" xfId="0" applyNumberFormat="1" applyFont="1" applyFill="1" applyBorder="1" applyAlignment="1">
      <alignment horizontal="center"/>
    </xf>
    <xf numFmtId="0" fontId="78" fillId="0" borderId="17" xfId="0" applyFont="1" applyBorder="1" applyAlignment="1">
      <alignment horizontal="center" vertical="center" wrapText="1"/>
    </xf>
    <xf numFmtId="1" fontId="78" fillId="0" borderId="10" xfId="0" applyNumberFormat="1" applyFont="1" applyBorder="1" applyAlignment="1">
      <alignment horizontal="center" vertical="center" wrapText="1"/>
    </xf>
    <xf numFmtId="1" fontId="78" fillId="0" borderId="38" xfId="0" applyNumberFormat="1" applyFont="1" applyBorder="1" applyAlignment="1">
      <alignment horizontal="center" vertical="center" wrapText="1"/>
    </xf>
    <xf numFmtId="0" fontId="79" fillId="0" borderId="16" xfId="0" applyFont="1" applyBorder="1" applyAlignment="1">
      <alignment horizontal="left" vertical="center" wrapText="1"/>
    </xf>
    <xf numFmtId="194" fontId="25" fillId="0" borderId="10" xfId="0" applyNumberFormat="1" applyFont="1" applyBorder="1" applyAlignment="1">
      <alignment horizontal="center" vertical="center" wrapText="1"/>
    </xf>
    <xf numFmtId="194" fontId="0" fillId="0" borderId="10" xfId="0" applyNumberFormat="1" applyBorder="1" applyAlignment="1">
      <alignment horizontal="center" vertical="center" wrapText="1"/>
    </xf>
    <xf numFmtId="194" fontId="25" fillId="0" borderId="38" xfId="0" applyNumberFormat="1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/>
    </xf>
    <xf numFmtId="193" fontId="73" fillId="25" borderId="10" xfId="0" applyNumberFormat="1" applyFont="1" applyFill="1" applyBorder="1" applyAlignment="1">
      <alignment horizontal="center"/>
    </xf>
    <xf numFmtId="193" fontId="78" fillId="26" borderId="10" xfId="0" applyNumberFormat="1" applyFont="1" applyFill="1" applyBorder="1" applyAlignment="1">
      <alignment horizontal="center"/>
    </xf>
    <xf numFmtId="193" fontId="73" fillId="25" borderId="38" xfId="0" applyNumberFormat="1" applyFont="1" applyFill="1" applyBorder="1" applyAlignment="1">
      <alignment horizontal="center"/>
    </xf>
    <xf numFmtId="1" fontId="73" fillId="27" borderId="10" xfId="0" applyNumberFormat="1" applyFont="1" applyFill="1" applyBorder="1" applyAlignment="1">
      <alignment horizontal="center"/>
    </xf>
    <xf numFmtId="1" fontId="73" fillId="27" borderId="38" xfId="0" applyNumberFormat="1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1" fontId="78" fillId="25" borderId="10" xfId="0" applyNumberFormat="1" applyFont="1" applyFill="1" applyBorder="1" applyAlignment="1">
      <alignment horizontal="center"/>
    </xf>
    <xf numFmtId="1" fontId="78" fillId="26" borderId="10" xfId="0" applyNumberFormat="1" applyFont="1" applyFill="1" applyBorder="1" applyAlignment="1">
      <alignment horizontal="center"/>
    </xf>
    <xf numFmtId="1" fontId="78" fillId="25" borderId="1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3" fillId="0" borderId="39" xfId="0" applyFont="1" applyBorder="1" applyAlignment="1">
      <alignment horizontal="center" vertical="center"/>
    </xf>
    <xf numFmtId="1" fontId="78" fillId="0" borderId="10" xfId="0" applyNumberFormat="1" applyFont="1" applyBorder="1" applyAlignment="1">
      <alignment horizontal="center"/>
    </xf>
    <xf numFmtId="194" fontId="78" fillId="0" borderId="10" xfId="0" applyNumberFormat="1" applyFont="1" applyBorder="1" applyAlignment="1">
      <alignment horizontal="center"/>
    </xf>
    <xf numFmtId="9" fontId="78" fillId="25" borderId="10" xfId="198" applyFont="1" applyFill="1" applyBorder="1" applyAlignment="1">
      <alignment horizontal="center"/>
    </xf>
    <xf numFmtId="1" fontId="78" fillId="0" borderId="19" xfId="0" applyNumberFormat="1" applyFont="1" applyBorder="1" applyAlignment="1">
      <alignment horizontal="center"/>
    </xf>
    <xf numFmtId="193" fontId="73" fillId="0" borderId="10" xfId="0" applyNumberFormat="1" applyFont="1" applyBorder="1" applyAlignment="1">
      <alignment horizontal="center"/>
    </xf>
    <xf numFmtId="194" fontId="73" fillId="0" borderId="10" xfId="0" applyNumberFormat="1" applyFont="1" applyBorder="1" applyAlignment="1">
      <alignment horizontal="center"/>
    </xf>
    <xf numFmtId="193" fontId="73" fillId="0" borderId="19" xfId="0" applyNumberFormat="1" applyFont="1" applyBorder="1" applyAlignment="1">
      <alignment horizontal="center"/>
    </xf>
    <xf numFmtId="0" fontId="73" fillId="0" borderId="18" xfId="0" applyFont="1" applyBorder="1" applyAlignment="1">
      <alignment horizontal="center" vertical="center"/>
    </xf>
    <xf numFmtId="0" fontId="73" fillId="25" borderId="14" xfId="0" applyFont="1" applyFill="1" applyBorder="1" applyAlignment="1">
      <alignment horizontal="center"/>
    </xf>
    <xf numFmtId="0" fontId="73" fillId="25" borderId="10" xfId="0" applyFont="1" applyFill="1" applyBorder="1" applyAlignment="1">
      <alignment horizontal="center"/>
    </xf>
    <xf numFmtId="1" fontId="73" fillId="28" borderId="10" xfId="0" applyNumberFormat="1" applyFont="1" applyFill="1" applyBorder="1" applyAlignment="1">
      <alignment horizontal="center"/>
    </xf>
    <xf numFmtId="1" fontId="73" fillId="28" borderId="38" xfId="0" applyNumberFormat="1" applyFont="1" applyFill="1" applyBorder="1" applyAlignment="1">
      <alignment horizontal="center"/>
    </xf>
    <xf numFmtId="0" fontId="78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2" fontId="73" fillId="0" borderId="10" xfId="0" applyNumberFormat="1" applyFont="1" applyBorder="1" applyAlignment="1">
      <alignment horizontal="center"/>
    </xf>
    <xf numFmtId="2" fontId="78" fillId="26" borderId="10" xfId="0" applyNumberFormat="1" applyFont="1" applyFill="1" applyBorder="1" applyAlignment="1">
      <alignment horizontal="center"/>
    </xf>
    <xf numFmtId="2" fontId="73" fillId="0" borderId="19" xfId="0" applyNumberFormat="1" applyFont="1" applyBorder="1" applyAlignment="1">
      <alignment horizontal="center"/>
    </xf>
    <xf numFmtId="194" fontId="73" fillId="28" borderId="11" xfId="0" applyNumberFormat="1" applyFont="1" applyFill="1" applyBorder="1" applyAlignment="1">
      <alignment horizontal="center"/>
    </xf>
    <xf numFmtId="194" fontId="73" fillId="28" borderId="10" xfId="0" applyNumberFormat="1" applyFont="1" applyFill="1" applyBorder="1" applyAlignment="1">
      <alignment horizontal="center"/>
    </xf>
    <xf numFmtId="1" fontId="78" fillId="0" borderId="10" xfId="0" applyNumberFormat="1" applyFont="1" applyBorder="1" applyAlignment="1">
      <alignment horizontal="center"/>
    </xf>
    <xf numFmtId="194" fontId="78" fillId="0" borderId="10" xfId="0" applyNumberFormat="1" applyFont="1" applyBorder="1" applyAlignment="1">
      <alignment horizontal="center"/>
    </xf>
    <xf numFmtId="1" fontId="78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94" fontId="0" fillId="0" borderId="10" xfId="0" applyNumberFormat="1" applyBorder="1" applyAlignment="1">
      <alignment horizontal="center"/>
    </xf>
    <xf numFmtId="2" fontId="78" fillId="0" borderId="19" xfId="0" applyNumberFormat="1" applyFont="1" applyBorder="1" applyAlignment="1">
      <alignment horizontal="center"/>
    </xf>
    <xf numFmtId="194" fontId="78" fillId="28" borderId="10" xfId="0" applyNumberFormat="1" applyFont="1" applyFill="1" applyBorder="1" applyAlignment="1">
      <alignment horizontal="center"/>
    </xf>
    <xf numFmtId="1" fontId="73" fillId="28" borderId="19" xfId="0" applyNumberFormat="1" applyFont="1" applyFill="1" applyBorder="1" applyAlignment="1">
      <alignment horizontal="center"/>
    </xf>
    <xf numFmtId="2" fontId="78" fillId="0" borderId="10" xfId="0" applyNumberFormat="1" applyFont="1" applyBorder="1" applyAlignment="1">
      <alignment horizontal="center"/>
    </xf>
    <xf numFmtId="2" fontId="78" fillId="25" borderId="10" xfId="0" applyNumberFormat="1" applyFont="1" applyFill="1" applyBorder="1" applyAlignment="1">
      <alignment horizontal="center"/>
    </xf>
    <xf numFmtId="0" fontId="78" fillId="25" borderId="10" xfId="0" applyFont="1" applyFill="1" applyBorder="1" applyAlignment="1">
      <alignment horizontal="center"/>
    </xf>
    <xf numFmtId="2" fontId="73" fillId="25" borderId="10" xfId="0" applyNumberFormat="1" applyFont="1" applyFill="1" applyBorder="1" applyAlignment="1">
      <alignment horizontal="center"/>
    </xf>
    <xf numFmtId="1" fontId="78" fillId="28" borderId="10" xfId="0" applyNumberFormat="1" applyFont="1" applyFill="1" applyBorder="1" applyAlignment="1">
      <alignment horizontal="center"/>
    </xf>
    <xf numFmtId="0" fontId="73" fillId="28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194" fontId="73" fillId="28" borderId="19" xfId="0" applyNumberFormat="1" applyFont="1" applyFill="1" applyBorder="1" applyAlignment="1">
      <alignment horizontal="center"/>
    </xf>
    <xf numFmtId="0" fontId="78" fillId="0" borderId="16" xfId="0" applyFont="1" applyBorder="1" applyAlignment="1">
      <alignment horizontal="center" vertical="center"/>
    </xf>
    <xf numFmtId="2" fontId="78" fillId="26" borderId="10" xfId="0" applyNumberFormat="1" applyFont="1" applyFill="1" applyBorder="1" applyAlignment="1">
      <alignment horizontal="center"/>
    </xf>
    <xf numFmtId="194" fontId="78" fillId="25" borderId="10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31" xfId="0" applyBorder="1" applyAlignment="1">
      <alignment horizontal="center"/>
    </xf>
    <xf numFmtId="0" fontId="0" fillId="26" borderId="31" xfId="0" applyFill="1" applyBorder="1" applyAlignment="1">
      <alignment horizontal="center"/>
    </xf>
    <xf numFmtId="194" fontId="78" fillId="0" borderId="31" xfId="0" applyNumberFormat="1" applyFont="1" applyBorder="1" applyAlignment="1">
      <alignment horizontal="center"/>
    </xf>
    <xf numFmtId="0" fontId="0" fillId="25" borderId="31" xfId="0" applyFill="1" applyBorder="1" applyAlignment="1">
      <alignment horizontal="center"/>
    </xf>
    <xf numFmtId="2" fontId="78" fillId="0" borderId="31" xfId="0" applyNumberFormat="1" applyFont="1" applyBorder="1" applyAlignment="1">
      <alignment horizontal="center"/>
    </xf>
    <xf numFmtId="1" fontId="73" fillId="0" borderId="31" xfId="0" applyNumberFormat="1" applyFont="1" applyBorder="1" applyAlignment="1">
      <alignment horizontal="center"/>
    </xf>
    <xf numFmtId="1" fontId="73" fillId="0" borderId="33" xfId="0" applyNumberFormat="1" applyFont="1" applyBorder="1" applyAlignment="1">
      <alignment horizontal="center"/>
    </xf>
    <xf numFmtId="0" fontId="73" fillId="0" borderId="32" xfId="0" applyFont="1" applyBorder="1" applyAlignment="1">
      <alignment/>
    </xf>
    <xf numFmtId="0" fontId="73" fillId="0" borderId="24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1" fontId="73" fillId="25" borderId="10" xfId="0" applyNumberFormat="1" applyFont="1" applyFill="1" applyBorder="1" applyAlignment="1">
      <alignment horizontal="center"/>
    </xf>
    <xf numFmtId="1" fontId="80" fillId="25" borderId="10" xfId="0" applyNumberFormat="1" applyFont="1" applyFill="1" applyBorder="1" applyAlignment="1">
      <alignment horizontal="center"/>
    </xf>
    <xf numFmtId="194" fontId="80" fillId="25" borderId="10" xfId="0" applyNumberFormat="1" applyFont="1" applyFill="1" applyBorder="1" applyAlignment="1">
      <alignment horizontal="center"/>
    </xf>
    <xf numFmtId="0" fontId="73" fillId="0" borderId="41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 wrapText="1"/>
    </xf>
    <xf numFmtId="1" fontId="80" fillId="25" borderId="20" xfId="0" applyNumberFormat="1" applyFont="1" applyFill="1" applyBorder="1" applyAlignment="1">
      <alignment horizontal="center"/>
    </xf>
    <xf numFmtId="1" fontId="78" fillId="25" borderId="20" xfId="0" applyNumberFormat="1" applyFont="1" applyFill="1" applyBorder="1" applyAlignment="1">
      <alignment horizontal="center"/>
    </xf>
    <xf numFmtId="194" fontId="80" fillId="25" borderId="20" xfId="0" applyNumberFormat="1" applyFont="1" applyFill="1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1" fontId="78" fillId="25" borderId="0" xfId="0" applyNumberFormat="1" applyFont="1" applyFill="1" applyBorder="1" applyAlignment="1">
      <alignment horizontal="center"/>
    </xf>
    <xf numFmtId="1" fontId="80" fillId="25" borderId="0" xfId="0" applyNumberFormat="1" applyFont="1" applyFill="1" applyBorder="1" applyAlignment="1">
      <alignment horizontal="center"/>
    </xf>
    <xf numFmtId="1" fontId="81" fillId="25" borderId="0" xfId="0" applyNumberFormat="1" applyFont="1" applyFill="1" applyBorder="1" applyAlignment="1">
      <alignment horizontal="center"/>
    </xf>
    <xf numFmtId="194" fontId="80" fillId="25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6" fillId="0" borderId="0" xfId="0" applyFont="1" applyAlignment="1">
      <alignment wrapText="1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1" fontId="0" fillId="0" borderId="1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" fontId="0" fillId="25" borderId="10" xfId="0" applyNumberFormat="1" applyFont="1" applyFill="1" applyBorder="1" applyAlignment="1">
      <alignment horizontal="center"/>
    </xf>
    <xf numFmtId="1" fontId="0" fillId="25" borderId="19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1" fontId="1" fillId="0" borderId="1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1" fillId="0" borderId="31" xfId="0" applyFont="1" applyBorder="1" applyAlignment="1">
      <alignment/>
    </xf>
    <xf numFmtId="1" fontId="1" fillId="0" borderId="31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194" fontId="1" fillId="0" borderId="2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84" fillId="0" borderId="0" xfId="0" applyFont="1" applyAlignment="1">
      <alignment vertical="center" wrapText="1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10" xfId="0" applyNumberFormat="1" applyFont="1" applyBorder="1" applyAlignment="1">
      <alignment horizontal="center"/>
    </xf>
    <xf numFmtId="186" fontId="0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6" fontId="1" fillId="0" borderId="0" xfId="0" applyNumberFormat="1" applyFont="1" applyBorder="1" applyAlignment="1">
      <alignment/>
    </xf>
    <xf numFmtId="186" fontId="1" fillId="24" borderId="0" xfId="0" applyNumberFormat="1" applyFont="1" applyFill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2" xfId="0" applyFont="1" applyBorder="1" applyAlignment="1">
      <alignment/>
    </xf>
    <xf numFmtId="186" fontId="1" fillId="0" borderId="24" xfId="0" applyNumberFormat="1" applyFont="1" applyBorder="1" applyAlignment="1">
      <alignment horizontal="center"/>
    </xf>
    <xf numFmtId="186" fontId="1" fillId="0" borderId="30" xfId="0" applyNumberFormat="1" applyFont="1" applyBorder="1" applyAlignment="1">
      <alignment horizontal="center"/>
    </xf>
    <xf numFmtId="186" fontId="1" fillId="0" borderId="14" xfId="0" applyNumberFormat="1" applyFont="1" applyBorder="1" applyAlignment="1">
      <alignment horizontal="center"/>
    </xf>
    <xf numFmtId="186" fontId="0" fillId="25" borderId="14" xfId="0" applyNumberFormat="1" applyFont="1" applyFill="1" applyBorder="1" applyAlignment="1">
      <alignment horizontal="center"/>
    </xf>
    <xf numFmtId="186" fontId="0" fillId="25" borderId="17" xfId="0" applyNumberFormat="1" applyFont="1" applyFill="1" applyBorder="1" applyAlignment="1">
      <alignment horizontal="center"/>
    </xf>
    <xf numFmtId="186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186" fontId="0" fillId="0" borderId="10" xfId="0" applyNumberFormat="1" applyBorder="1" applyAlignment="1">
      <alignment horizontal="center"/>
    </xf>
    <xf numFmtId="186" fontId="0" fillId="0" borderId="19" xfId="0" applyNumberFormat="1" applyBorder="1" applyAlignment="1">
      <alignment horizontal="center"/>
    </xf>
    <xf numFmtId="0" fontId="1" fillId="25" borderId="18" xfId="0" applyFont="1" applyFill="1" applyBorder="1" applyAlignment="1">
      <alignment/>
    </xf>
    <xf numFmtId="0" fontId="0" fillId="25" borderId="18" xfId="0" applyFill="1" applyBorder="1" applyAlignment="1">
      <alignment/>
    </xf>
    <xf numFmtId="186" fontId="0" fillId="25" borderId="10" xfId="0" applyNumberFormat="1" applyFill="1" applyBorder="1" applyAlignment="1">
      <alignment horizontal="center"/>
    </xf>
    <xf numFmtId="186" fontId="1" fillId="0" borderId="10" xfId="0" applyNumberFormat="1" applyFont="1" applyBorder="1" applyAlignment="1">
      <alignment horizontal="center"/>
    </xf>
    <xf numFmtId="0" fontId="5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186" fontId="1" fillId="0" borderId="10" xfId="0" applyNumberFormat="1" applyFont="1" applyBorder="1" applyAlignment="1">
      <alignment wrapText="1"/>
    </xf>
    <xf numFmtId="186" fontId="0" fillId="0" borderId="10" xfId="0" applyNumberFormat="1" applyBorder="1" applyAlignment="1">
      <alignment wrapText="1"/>
    </xf>
    <xf numFmtId="186" fontId="1" fillId="0" borderId="19" xfId="0" applyNumberFormat="1" applyFont="1" applyBorder="1" applyAlignment="1">
      <alignment horizontal="center"/>
    </xf>
    <xf numFmtId="186" fontId="0" fillId="0" borderId="10" xfId="0" applyNumberFormat="1" applyBorder="1" applyAlignment="1">
      <alignment/>
    </xf>
    <xf numFmtId="186" fontId="0" fillId="0" borderId="19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86" fontId="1" fillId="0" borderId="31" xfId="0" applyNumberFormat="1" applyFont="1" applyBorder="1" applyAlignment="1">
      <alignment horizontal="center"/>
    </xf>
    <xf numFmtId="0" fontId="85" fillId="0" borderId="22" xfId="0" applyFont="1" applyBorder="1" applyAlignment="1">
      <alignment/>
    </xf>
    <xf numFmtId="186" fontId="1" fillId="0" borderId="20" xfId="0" applyNumberFormat="1" applyFont="1" applyBorder="1" applyAlignment="1">
      <alignment horizontal="center"/>
    </xf>
    <xf numFmtId="186" fontId="1" fillId="0" borderId="21" xfId="0" applyNumberFormat="1" applyFont="1" applyBorder="1" applyAlignment="1">
      <alignment horizontal="center"/>
    </xf>
    <xf numFmtId="0" fontId="7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25" borderId="32" xfId="0" applyFill="1" applyBorder="1" applyAlignment="1">
      <alignment horizontal="center" vertical="justify"/>
    </xf>
    <xf numFmtId="0" fontId="1" fillId="25" borderId="24" xfId="0" applyFont="1" applyFill="1" applyBorder="1" applyAlignment="1">
      <alignment/>
    </xf>
    <xf numFmtId="1" fontId="0" fillId="25" borderId="24" xfId="0" applyNumberFormat="1" applyFill="1" applyBorder="1" applyAlignment="1">
      <alignment/>
    </xf>
    <xf numFmtId="1" fontId="0" fillId="25" borderId="30" xfId="0" applyNumberFormat="1" applyFill="1" applyBorder="1" applyAlignment="1">
      <alignment horizontal="center"/>
    </xf>
    <xf numFmtId="0" fontId="0" fillId="25" borderId="18" xfId="0" applyFill="1" applyBorder="1" applyAlignment="1">
      <alignment vertical="justify"/>
    </xf>
    <xf numFmtId="0" fontId="0" fillId="25" borderId="10" xfId="0" applyFill="1" applyBorder="1" applyAlignment="1">
      <alignment/>
    </xf>
    <xf numFmtId="1" fontId="0" fillId="25" borderId="10" xfId="0" applyNumberFormat="1" applyFill="1" applyBorder="1" applyAlignment="1">
      <alignment/>
    </xf>
    <xf numFmtId="1" fontId="0" fillId="25" borderId="19" xfId="0" applyNumberFormat="1" applyFill="1" applyBorder="1" applyAlignment="1">
      <alignment/>
    </xf>
    <xf numFmtId="0" fontId="1" fillId="25" borderId="18" xfId="0" applyFont="1" applyFill="1" applyBorder="1" applyAlignment="1">
      <alignment horizontal="center" vertical="justify"/>
    </xf>
    <xf numFmtId="0" fontId="1" fillId="25" borderId="10" xfId="0" applyFont="1" applyFill="1" applyBorder="1" applyAlignment="1">
      <alignment/>
    </xf>
    <xf numFmtId="1" fontId="1" fillId="25" borderId="10" xfId="0" applyNumberFormat="1" applyFont="1" applyFill="1" applyBorder="1" applyAlignment="1">
      <alignment/>
    </xf>
    <xf numFmtId="1" fontId="1" fillId="25" borderId="19" xfId="0" applyNumberFormat="1" applyFont="1" applyFill="1" applyBorder="1" applyAlignment="1">
      <alignment/>
    </xf>
    <xf numFmtId="1" fontId="0" fillId="25" borderId="18" xfId="0" applyNumberFormat="1" applyFont="1" applyFill="1" applyBorder="1" applyAlignment="1">
      <alignment horizontal="center" vertical="justify"/>
    </xf>
    <xf numFmtId="0" fontId="0" fillId="25" borderId="10" xfId="0" applyFont="1" applyFill="1" applyBorder="1" applyAlignment="1">
      <alignment/>
    </xf>
    <xf numFmtId="1" fontId="0" fillId="25" borderId="1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25" borderId="19" xfId="0" applyNumberFormat="1" applyFont="1" applyFill="1" applyBorder="1" applyAlignment="1">
      <alignment/>
    </xf>
    <xf numFmtId="1" fontId="0" fillId="25" borderId="22" xfId="0" applyNumberFormat="1" applyFont="1" applyFill="1" applyBorder="1" applyAlignment="1">
      <alignment horizontal="center" vertical="justify"/>
    </xf>
    <xf numFmtId="0" fontId="0" fillId="25" borderId="20" xfId="0" applyFill="1" applyBorder="1" applyAlignment="1">
      <alignment/>
    </xf>
    <xf numFmtId="1" fontId="0" fillId="25" borderId="20" xfId="0" applyNumberFormat="1" applyFont="1" applyFill="1" applyBorder="1" applyAlignment="1">
      <alignment/>
    </xf>
    <xf numFmtId="1" fontId="0" fillId="25" borderId="21" xfId="0" applyNumberFormat="1" applyFont="1" applyFill="1" applyBorder="1" applyAlignment="1">
      <alignment/>
    </xf>
    <xf numFmtId="0" fontId="0" fillId="25" borderId="44" xfId="0" applyFont="1" applyFill="1" applyBorder="1" applyAlignment="1">
      <alignment vertical="justify"/>
    </xf>
    <xf numFmtId="0" fontId="1" fillId="25" borderId="36" xfId="0" applyFont="1" applyFill="1" applyBorder="1" applyAlignment="1">
      <alignment/>
    </xf>
    <xf numFmtId="1" fontId="1" fillId="25" borderId="36" xfId="0" applyNumberFormat="1" applyFont="1" applyFill="1" applyBorder="1" applyAlignment="1">
      <alignment/>
    </xf>
    <xf numFmtId="1" fontId="1" fillId="25" borderId="37" xfId="0" applyNumberFormat="1" applyFont="1" applyFill="1" applyBorder="1" applyAlignment="1">
      <alignment/>
    </xf>
    <xf numFmtId="0" fontId="1" fillId="25" borderId="32" xfId="0" applyFont="1" applyFill="1" applyBorder="1" applyAlignment="1">
      <alignment vertical="justify"/>
    </xf>
    <xf numFmtId="0" fontId="0" fillId="25" borderId="24" xfId="0" applyFont="1" applyFill="1" applyBorder="1" applyAlignment="1">
      <alignment/>
    </xf>
    <xf numFmtId="1" fontId="0" fillId="25" borderId="24" xfId="0" applyNumberFormat="1" applyFont="1" applyFill="1" applyBorder="1" applyAlignment="1">
      <alignment/>
    </xf>
    <xf numFmtId="1" fontId="0" fillId="25" borderId="30" xfId="0" applyNumberFormat="1" applyFont="1" applyFill="1" applyBorder="1" applyAlignment="1">
      <alignment/>
    </xf>
    <xf numFmtId="0" fontId="0" fillId="25" borderId="18" xfId="0" applyFill="1" applyBorder="1" applyAlignment="1">
      <alignment horizontal="center" vertical="justify"/>
    </xf>
    <xf numFmtId="0" fontId="0" fillId="25" borderId="10" xfId="0" applyFill="1" applyBorder="1" applyAlignment="1">
      <alignment wrapText="1"/>
    </xf>
    <xf numFmtId="194" fontId="0" fillId="25" borderId="10" xfId="0" applyNumberFormat="1" applyFill="1" applyBorder="1" applyAlignment="1">
      <alignment wrapText="1"/>
    </xf>
    <xf numFmtId="1" fontId="78" fillId="25" borderId="10" xfId="0" applyNumberFormat="1" applyFont="1" applyFill="1" applyBorder="1" applyAlignment="1">
      <alignment/>
    </xf>
    <xf numFmtId="1" fontId="78" fillId="25" borderId="19" xfId="0" applyNumberFormat="1" applyFont="1" applyFill="1" applyBorder="1" applyAlignment="1">
      <alignment/>
    </xf>
    <xf numFmtId="14" fontId="0" fillId="25" borderId="18" xfId="0" applyNumberFormat="1" applyFill="1" applyBorder="1" applyAlignment="1">
      <alignment horizontal="center" vertical="justify"/>
    </xf>
    <xf numFmtId="14" fontId="0" fillId="25" borderId="40" xfId="0" applyNumberFormat="1" applyFill="1" applyBorder="1" applyAlignment="1">
      <alignment horizontal="center" vertical="justify"/>
    </xf>
    <xf numFmtId="0" fontId="0" fillId="25" borderId="31" xfId="0" applyFill="1" applyBorder="1" applyAlignment="1">
      <alignment wrapText="1"/>
    </xf>
    <xf numFmtId="194" fontId="0" fillId="25" borderId="31" xfId="0" applyNumberFormat="1" applyFill="1" applyBorder="1" applyAlignment="1">
      <alignment wrapText="1"/>
    </xf>
    <xf numFmtId="1" fontId="0" fillId="25" borderId="31" xfId="0" applyNumberFormat="1" applyFont="1" applyFill="1" applyBorder="1" applyAlignment="1">
      <alignment/>
    </xf>
    <xf numFmtId="1" fontId="0" fillId="25" borderId="33" xfId="0" applyNumberFormat="1" applyFont="1" applyFill="1" applyBorder="1" applyAlignment="1">
      <alignment/>
    </xf>
    <xf numFmtId="14" fontId="0" fillId="25" borderId="22" xfId="0" applyNumberFormat="1" applyFill="1" applyBorder="1" applyAlignment="1">
      <alignment horizontal="center" vertical="justify"/>
    </xf>
    <xf numFmtId="0" fontId="0" fillId="25" borderId="20" xfId="0" applyFill="1" applyBorder="1" applyAlignment="1">
      <alignment wrapText="1"/>
    </xf>
    <xf numFmtId="0" fontId="1" fillId="25" borderId="44" xfId="0" applyFont="1" applyFill="1" applyBorder="1" applyAlignment="1">
      <alignment horizontal="center" vertical="justify"/>
    </xf>
    <xf numFmtId="0" fontId="1" fillId="25" borderId="36" xfId="0" applyFont="1" applyFill="1" applyBorder="1" applyAlignment="1">
      <alignment wrapText="1"/>
    </xf>
    <xf numFmtId="0" fontId="0" fillId="25" borderId="18" xfId="0" applyFill="1" applyBorder="1" applyAlignment="1">
      <alignment horizontal="center"/>
    </xf>
    <xf numFmtId="0" fontId="1" fillId="25" borderId="10" xfId="0" applyFont="1" applyFill="1" applyBorder="1" applyAlignment="1">
      <alignment wrapText="1"/>
    </xf>
    <xf numFmtId="194" fontId="1" fillId="25" borderId="10" xfId="0" applyNumberFormat="1" applyFont="1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194" fontId="0" fillId="25" borderId="10" xfId="0" applyNumberFormat="1" applyFont="1" applyFill="1" applyBorder="1" applyAlignment="1">
      <alignment wrapText="1"/>
    </xf>
    <xf numFmtId="1" fontId="0" fillId="25" borderId="10" xfId="0" applyNumberFormat="1" applyFont="1" applyFill="1" applyBorder="1" applyAlignment="1">
      <alignment/>
    </xf>
    <xf numFmtId="1" fontId="0" fillId="25" borderId="19" xfId="0" applyNumberFormat="1" applyFont="1" applyFill="1" applyBorder="1" applyAlignment="1">
      <alignment/>
    </xf>
    <xf numFmtId="14" fontId="0" fillId="25" borderId="18" xfId="0" applyNumberFormat="1" applyFill="1" applyBorder="1" applyAlignment="1">
      <alignment vertical="justify"/>
    </xf>
    <xf numFmtId="14" fontId="0" fillId="25" borderId="40" xfId="0" applyNumberFormat="1" applyFill="1" applyBorder="1" applyAlignment="1">
      <alignment vertical="justify"/>
    </xf>
    <xf numFmtId="0" fontId="0" fillId="25" borderId="39" xfId="0" applyFill="1" applyBorder="1" applyAlignment="1">
      <alignment vertical="justify"/>
    </xf>
    <xf numFmtId="0" fontId="1" fillId="25" borderId="45" xfId="0" applyFont="1" applyFill="1" applyBorder="1" applyAlignment="1">
      <alignment/>
    </xf>
    <xf numFmtId="1" fontId="1" fillId="25" borderId="45" xfId="0" applyNumberFormat="1" applyFont="1" applyFill="1" applyBorder="1" applyAlignment="1">
      <alignment/>
    </xf>
    <xf numFmtId="0" fontId="0" fillId="25" borderId="45" xfId="0" applyFill="1" applyBorder="1" applyAlignment="1">
      <alignment/>
    </xf>
    <xf numFmtId="0" fontId="0" fillId="25" borderId="46" xfId="0" applyFill="1" applyBorder="1" applyAlignment="1">
      <alignment/>
    </xf>
    <xf numFmtId="0" fontId="0" fillId="25" borderId="44" xfId="0" applyFill="1" applyBorder="1" applyAlignment="1">
      <alignment vertical="justify"/>
    </xf>
    <xf numFmtId="1" fontId="1" fillId="25" borderId="36" xfId="0" applyNumberFormat="1" applyFont="1" applyFill="1" applyBorder="1" applyAlignment="1">
      <alignment wrapText="1"/>
    </xf>
    <xf numFmtId="1" fontId="1" fillId="25" borderId="37" xfId="0" applyNumberFormat="1" applyFont="1" applyFill="1" applyBorder="1" applyAlignment="1">
      <alignment wrapText="1"/>
    </xf>
    <xf numFmtId="0" fontId="0" fillId="0" borderId="0" xfId="0" applyBorder="1" applyAlignment="1">
      <alignment vertical="justify"/>
    </xf>
    <xf numFmtId="0" fontId="103" fillId="0" borderId="0" xfId="0" applyFont="1" applyBorder="1" applyAlignment="1">
      <alignment wrapText="1"/>
    </xf>
    <xf numFmtId="1" fontId="103" fillId="25" borderId="0" xfId="0" applyNumberFormat="1" applyFont="1" applyFill="1" applyBorder="1" applyAlignment="1">
      <alignment wrapText="1"/>
    </xf>
    <xf numFmtId="1" fontId="102" fillId="0" borderId="0" xfId="0" applyNumberFormat="1" applyFont="1" applyAlignment="1">
      <alignment/>
    </xf>
    <xf numFmtId="0" fontId="56" fillId="0" borderId="0" xfId="0" applyFont="1" applyAlignment="1">
      <alignment/>
    </xf>
    <xf numFmtId="0" fontId="8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9" borderId="18" xfId="0" applyFont="1" applyFill="1" applyBorder="1" applyAlignment="1">
      <alignment horizontal="center"/>
    </xf>
    <xf numFmtId="0" fontId="1" fillId="29" borderId="10" xfId="0" applyFont="1" applyFill="1" applyBorder="1" applyAlignment="1">
      <alignment wrapText="1"/>
    </xf>
    <xf numFmtId="2" fontId="1" fillId="29" borderId="10" xfId="0" applyNumberFormat="1" applyFont="1" applyFill="1" applyBorder="1" applyAlignment="1">
      <alignment/>
    </xf>
    <xf numFmtId="0" fontId="1" fillId="29" borderId="10" xfId="0" applyFont="1" applyFill="1" applyBorder="1" applyAlignment="1">
      <alignment/>
    </xf>
    <xf numFmtId="1" fontId="1" fillId="29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19" xfId="0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94" fontId="1" fillId="29" borderId="10" xfId="0" applyNumberFormat="1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29" borderId="10" xfId="0" applyFill="1" applyBorder="1" applyAlignment="1">
      <alignment/>
    </xf>
    <xf numFmtId="0" fontId="0" fillId="29" borderId="19" xfId="0" applyFill="1" applyBorder="1" applyAlignment="1">
      <alignment/>
    </xf>
    <xf numFmtId="0" fontId="0" fillId="29" borderId="10" xfId="0" applyFill="1" applyBorder="1" applyAlignment="1">
      <alignment wrapText="1"/>
    </xf>
    <xf numFmtId="2" fontId="1" fillId="29" borderId="19" xfId="0" applyNumberFormat="1" applyFont="1" applyFill="1" applyBorder="1" applyAlignment="1">
      <alignment/>
    </xf>
    <xf numFmtId="2" fontId="0" fillId="29" borderId="10" xfId="0" applyNumberFormat="1" applyFill="1" applyBorder="1" applyAlignment="1">
      <alignment/>
    </xf>
    <xf numFmtId="0" fontId="1" fillId="25" borderId="18" xfId="0" applyFont="1" applyFill="1" applyBorder="1" applyAlignment="1">
      <alignment horizontal="center"/>
    </xf>
    <xf numFmtId="2" fontId="1" fillId="25" borderId="10" xfId="0" applyNumberFormat="1" applyFont="1" applyFill="1" applyBorder="1" applyAlignment="1">
      <alignment/>
    </xf>
    <xf numFmtId="2" fontId="0" fillId="29" borderId="19" xfId="0" applyNumberFormat="1" applyFill="1" applyBorder="1" applyAlignment="1">
      <alignment/>
    </xf>
    <xf numFmtId="0" fontId="0" fillId="0" borderId="19" xfId="0" applyBorder="1" applyAlignment="1">
      <alignment/>
    </xf>
    <xf numFmtId="194" fontId="0" fillId="29" borderId="10" xfId="0" applyNumberFormat="1" applyFill="1" applyBorder="1" applyAlignment="1">
      <alignment/>
    </xf>
    <xf numFmtId="194" fontId="0" fillId="29" borderId="19" xfId="0" applyNumberFormat="1" applyFill="1" applyBorder="1" applyAlignment="1">
      <alignment/>
    </xf>
    <xf numFmtId="1" fontId="0" fillId="29" borderId="10" xfId="0" applyNumberFormat="1" applyFill="1" applyBorder="1" applyAlignment="1">
      <alignment/>
    </xf>
    <xf numFmtId="1" fontId="0" fillId="29" borderId="19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94" fontId="0" fillId="0" borderId="10" xfId="0" applyNumberFormat="1" applyBorder="1" applyAlignment="1">
      <alignment/>
    </xf>
    <xf numFmtId="194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2" fontId="1" fillId="0" borderId="20" xfId="0" applyNumberFormat="1" applyFont="1" applyBorder="1" applyAlignment="1">
      <alignment/>
    </xf>
    <xf numFmtId="0" fontId="75" fillId="0" borderId="0" xfId="0" applyFont="1" applyAlignment="1">
      <alignment/>
    </xf>
    <xf numFmtId="0" fontId="67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14" xfId="0" applyBorder="1" applyAlignment="1">
      <alignment/>
    </xf>
    <xf numFmtId="0" fontId="1" fillId="29" borderId="19" xfId="0" applyFont="1" applyFill="1" applyBorder="1" applyAlignment="1">
      <alignment/>
    </xf>
    <xf numFmtId="0" fontId="85" fillId="29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2" fontId="0" fillId="25" borderId="10" xfId="0" applyNumberFormat="1" applyFill="1" applyBorder="1" applyAlignment="1">
      <alignment/>
    </xf>
    <xf numFmtId="194" fontId="1" fillId="25" borderId="10" xfId="0" applyNumberFormat="1" applyFont="1" applyFill="1" applyBorder="1" applyAlignment="1">
      <alignment/>
    </xf>
    <xf numFmtId="194" fontId="1" fillId="25" borderId="19" xfId="0" applyNumberFormat="1" applyFont="1" applyFill="1" applyBorder="1" applyAlignment="1">
      <alignment/>
    </xf>
    <xf numFmtId="0" fontId="85" fillId="25" borderId="10" xfId="0" applyFont="1" applyFill="1" applyBorder="1" applyAlignment="1">
      <alignment wrapText="1"/>
    </xf>
    <xf numFmtId="0" fontId="85" fillId="29" borderId="10" xfId="0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/>
    </xf>
    <xf numFmtId="3" fontId="0" fillId="29" borderId="10" xfId="0" applyNumberFormat="1" applyFill="1" applyBorder="1" applyAlignment="1">
      <alignment/>
    </xf>
    <xf numFmtId="3" fontId="0" fillId="29" borderId="19" xfId="0" applyNumberFormat="1" applyFill="1" applyBorder="1" applyAlignment="1">
      <alignment/>
    </xf>
    <xf numFmtId="4" fontId="0" fillId="29" borderId="10" xfId="0" applyNumberFormat="1" applyFill="1" applyBorder="1" applyAlignment="1">
      <alignment/>
    </xf>
    <xf numFmtId="4" fontId="0" fillId="29" borderId="19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4" fontId="1" fillId="29" borderId="10" xfId="0" applyNumberFormat="1" applyFont="1" applyFill="1" applyBorder="1" applyAlignment="1">
      <alignment/>
    </xf>
    <xf numFmtId="4" fontId="1" fillId="29" borderId="19" xfId="0" applyNumberFormat="1" applyFont="1" applyFill="1" applyBorder="1" applyAlignment="1">
      <alignment/>
    </xf>
    <xf numFmtId="3" fontId="0" fillId="25" borderId="10" xfId="0" applyNumberFormat="1" applyFill="1" applyBorder="1" applyAlignment="1">
      <alignment/>
    </xf>
    <xf numFmtId="3" fontId="0" fillId="25" borderId="19" xfId="0" applyNumberFormat="1" applyFill="1" applyBorder="1" applyAlignment="1">
      <alignment/>
    </xf>
    <xf numFmtId="0" fontId="85" fillId="29" borderId="10" xfId="0" applyFont="1" applyFill="1" applyBorder="1" applyAlignment="1">
      <alignment horizontal="left"/>
    </xf>
    <xf numFmtId="0" fontId="85" fillId="0" borderId="10" xfId="0" applyFont="1" applyBorder="1" applyAlignment="1">
      <alignment wrapText="1"/>
    </xf>
    <xf numFmtId="0" fontId="55" fillId="0" borderId="20" xfId="0" applyFont="1" applyBorder="1" applyAlignment="1">
      <alignment/>
    </xf>
    <xf numFmtId="2" fontId="85" fillId="0" borderId="20" xfId="0" applyNumberFormat="1" applyFont="1" applyBorder="1" applyAlignment="1">
      <alignment/>
    </xf>
    <xf numFmtId="0" fontId="38" fillId="0" borderId="19" xfId="188" applyNumberFormat="1" applyFont="1" applyBorder="1" applyAlignment="1">
      <alignment horizontal="center" vertical="center" wrapText="1"/>
      <protection/>
    </xf>
    <xf numFmtId="1" fontId="38" fillId="0" borderId="19" xfId="188" applyNumberFormat="1" applyFont="1" applyBorder="1" applyAlignment="1">
      <alignment horizontal="center" vertical="center"/>
      <protection/>
    </xf>
    <xf numFmtId="0" fontId="29" fillId="24" borderId="18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41" fillId="24" borderId="18" xfId="0" applyFont="1" applyFill="1" applyBorder="1" applyAlignment="1">
      <alignment horizontal="center" vertical="center" wrapText="1"/>
    </xf>
    <xf numFmtId="3" fontId="30" fillId="25" borderId="19" xfId="0" applyNumberFormat="1" applyFont="1" applyFill="1" applyBorder="1" applyAlignment="1">
      <alignment horizont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104" fillId="24" borderId="0" xfId="143" applyFont="1" applyFill="1">
      <alignment/>
      <protection/>
    </xf>
    <xf numFmtId="0" fontId="105" fillId="24" borderId="0" xfId="143" applyFont="1" applyFill="1">
      <alignment/>
      <protection/>
    </xf>
    <xf numFmtId="1" fontId="85" fillId="25" borderId="0" xfId="0" applyNumberFormat="1" applyFont="1" applyFill="1" applyBorder="1" applyAlignment="1">
      <alignment horizontal="center"/>
    </xf>
    <xf numFmtId="0" fontId="85" fillId="0" borderId="0" xfId="0" applyFont="1" applyAlignment="1">
      <alignment horizontal="left"/>
    </xf>
    <xf numFmtId="194" fontId="85" fillId="0" borderId="0" xfId="0" applyNumberFormat="1" applyFont="1" applyAlignment="1">
      <alignment/>
    </xf>
    <xf numFmtId="0" fontId="59" fillId="0" borderId="0" xfId="188" applyFont="1" applyAlignment="1">
      <alignment horizontal="left"/>
      <protection/>
    </xf>
    <xf numFmtId="0" fontId="31" fillId="0" borderId="20" xfId="186" applyFont="1" applyFill="1" applyBorder="1" applyAlignment="1">
      <alignment horizontal="center" vertical="center" wrapText="1"/>
      <protection/>
    </xf>
    <xf numFmtId="0" fontId="54" fillId="0" borderId="20" xfId="186" applyFont="1" applyFill="1" applyBorder="1" applyAlignment="1">
      <alignment horizontal="center" vertical="center" wrapText="1"/>
      <protection/>
    </xf>
    <xf numFmtId="0" fontId="54" fillId="24" borderId="20" xfId="186" applyFont="1" applyFill="1" applyBorder="1" applyAlignment="1">
      <alignment horizontal="center" vertical="center" wrapText="1"/>
      <protection/>
    </xf>
    <xf numFmtId="0" fontId="54" fillId="24" borderId="21" xfId="186" applyFont="1" applyFill="1" applyBorder="1" applyAlignment="1">
      <alignment horizontal="center" vertical="center" wrapText="1"/>
      <protection/>
    </xf>
    <xf numFmtId="0" fontId="53" fillId="0" borderId="20" xfId="0" applyFont="1" applyBorder="1" applyAlignment="1">
      <alignment horizontal="left" vertical="center" wrapText="1"/>
    </xf>
    <xf numFmtId="0" fontId="63" fillId="24" borderId="19" xfId="189" applyFont="1" applyFill="1" applyBorder="1" applyAlignment="1">
      <alignment horizontal="center" vertical="center" wrapText="1"/>
      <protection/>
    </xf>
    <xf numFmtId="0" fontId="63" fillId="25" borderId="19" xfId="189" applyFont="1" applyFill="1" applyBorder="1" applyAlignment="1">
      <alignment horizontal="center" vertical="center" wrapText="1"/>
      <protection/>
    </xf>
    <xf numFmtId="0" fontId="34" fillId="24" borderId="20" xfId="189" applyFont="1" applyFill="1" applyBorder="1" applyAlignment="1">
      <alignment horizontal="left" vertical="center" wrapText="1"/>
      <protection/>
    </xf>
    <xf numFmtId="0" fontId="63" fillId="24" borderId="21" xfId="186" applyFont="1" applyFill="1" applyBorder="1" applyAlignment="1">
      <alignment horizontal="center" wrapText="1"/>
      <protection/>
    </xf>
    <xf numFmtId="0" fontId="33" fillId="24" borderId="24" xfId="186" applyFont="1" applyFill="1" applyBorder="1" applyAlignment="1">
      <alignment horizontal="center" vertical="center" wrapText="1"/>
      <protection/>
    </xf>
    <xf numFmtId="0" fontId="34" fillId="24" borderId="19" xfId="189" applyFont="1" applyFill="1" applyBorder="1" applyAlignment="1">
      <alignment wrapText="1"/>
      <protection/>
    </xf>
    <xf numFmtId="0" fontId="33" fillId="24" borderId="20" xfId="186" applyFont="1" applyFill="1" applyBorder="1" applyAlignment="1">
      <alignment horizontal="left" wrapText="1"/>
      <protection/>
    </xf>
    <xf numFmtId="0" fontId="33" fillId="24" borderId="20" xfId="186" applyFont="1" applyFill="1" applyBorder="1" applyAlignment="1">
      <alignment horizontal="center" wrapText="1"/>
      <protection/>
    </xf>
    <xf numFmtId="0" fontId="33" fillId="24" borderId="21" xfId="186" applyFont="1" applyFill="1" applyBorder="1" applyAlignment="1">
      <alignment horizontal="center" wrapText="1"/>
      <protection/>
    </xf>
    <xf numFmtId="0" fontId="85" fillId="0" borderId="0" xfId="0" applyFont="1" applyAlignment="1">
      <alignment horizontal="center"/>
    </xf>
    <xf numFmtId="0" fontId="60" fillId="0" borderId="10" xfId="188" applyFont="1" applyBorder="1" applyAlignment="1">
      <alignment horizontal="center"/>
      <protection/>
    </xf>
    <xf numFmtId="199" fontId="37" fillId="0" borderId="14" xfId="188" applyNumberFormat="1" applyFont="1" applyBorder="1" applyAlignment="1">
      <alignment horizontal="center" vertical="center"/>
      <protection/>
    </xf>
    <xf numFmtId="3" fontId="60" fillId="0" borderId="14" xfId="188" applyNumberFormat="1" applyFont="1" applyBorder="1" applyAlignment="1">
      <alignment horizontal="center"/>
      <protection/>
    </xf>
    <xf numFmtId="1" fontId="60" fillId="0" borderId="14" xfId="188" applyNumberFormat="1" applyFont="1" applyBorder="1" applyAlignment="1">
      <alignment horizontal="center"/>
      <protection/>
    </xf>
    <xf numFmtId="1" fontId="60" fillId="0" borderId="14" xfId="188" applyNumberFormat="1" applyFont="1" applyFill="1" applyBorder="1" applyAlignment="1">
      <alignment horizontal="center"/>
      <protection/>
    </xf>
    <xf numFmtId="0" fontId="60" fillId="0" borderId="14" xfId="188" applyFont="1" applyBorder="1" applyAlignment="1">
      <alignment horizontal="center"/>
      <protection/>
    </xf>
    <xf numFmtId="0" fontId="43" fillId="0" borderId="36" xfId="188" applyNumberFormat="1" applyFont="1" applyBorder="1" applyAlignment="1">
      <alignment horizontal="center" vertical="center" wrapText="1"/>
      <protection/>
    </xf>
    <xf numFmtId="0" fontId="60" fillId="0" borderId="36" xfId="188" applyNumberFormat="1" applyFont="1" applyBorder="1" applyAlignment="1">
      <alignment horizontal="center" vertical="center" wrapText="1"/>
      <protection/>
    </xf>
    <xf numFmtId="0" fontId="60" fillId="25" borderId="36" xfId="188" applyNumberFormat="1" applyFont="1" applyFill="1" applyBorder="1" applyAlignment="1">
      <alignment horizontal="center" vertical="center" wrapText="1"/>
      <protection/>
    </xf>
    <xf numFmtId="0" fontId="60" fillId="0" borderId="36" xfId="188" applyFont="1" applyBorder="1" applyAlignment="1">
      <alignment horizontal="center" vertical="center"/>
      <protection/>
    </xf>
    <xf numFmtId="0" fontId="60" fillId="0" borderId="37" xfId="188" applyFont="1" applyBorder="1" applyAlignment="1">
      <alignment horizontal="center" vertical="center"/>
      <protection/>
    </xf>
    <xf numFmtId="0" fontId="37" fillId="0" borderId="16" xfId="188" applyNumberFormat="1" applyFont="1" applyBorder="1" applyAlignment="1">
      <alignment horizontal="left" wrapText="1"/>
      <protection/>
    </xf>
    <xf numFmtId="0" fontId="60" fillId="0" borderId="17" xfId="188" applyFont="1" applyBorder="1" applyAlignment="1">
      <alignment horizontal="center"/>
      <protection/>
    </xf>
    <xf numFmtId="0" fontId="37" fillId="0" borderId="18" xfId="188" applyNumberFormat="1" applyFont="1" applyBorder="1" applyAlignment="1">
      <alignment horizontal="left" wrapText="1"/>
      <protection/>
    </xf>
    <xf numFmtId="0" fontId="60" fillId="0" borderId="19" xfId="188" applyFont="1" applyBorder="1" applyAlignment="1">
      <alignment horizontal="center"/>
      <protection/>
    </xf>
    <xf numFmtId="0" fontId="38" fillId="0" borderId="18" xfId="188" applyNumberFormat="1" applyFont="1" applyBorder="1" applyAlignment="1">
      <alignment horizontal="left" wrapText="1"/>
      <protection/>
    </xf>
    <xf numFmtId="0" fontId="37" fillId="0" borderId="18" xfId="188" applyNumberFormat="1" applyBorder="1" applyAlignment="1">
      <alignment horizontal="left" wrapText="1"/>
      <protection/>
    </xf>
    <xf numFmtId="1" fontId="60" fillId="0" borderId="19" xfId="188" applyNumberFormat="1" applyFont="1" applyBorder="1" applyAlignment="1">
      <alignment horizontal="center"/>
      <protection/>
    </xf>
    <xf numFmtId="0" fontId="38" fillId="0" borderId="22" xfId="188" applyNumberFormat="1" applyFont="1" applyBorder="1" applyAlignment="1">
      <alignment horizontal="left" wrapText="1"/>
      <protection/>
    </xf>
    <xf numFmtId="1" fontId="38" fillId="0" borderId="20" xfId="188" applyNumberFormat="1" applyFont="1" applyBorder="1" applyAlignment="1">
      <alignment horizontal="center" vertical="center"/>
      <protection/>
    </xf>
    <xf numFmtId="3" fontId="60" fillId="0" borderId="20" xfId="188" applyNumberFormat="1" applyFont="1" applyBorder="1" applyAlignment="1">
      <alignment horizontal="center"/>
      <protection/>
    </xf>
    <xf numFmtId="1" fontId="60" fillId="0" borderId="20" xfId="188" applyNumberFormat="1" applyFont="1" applyBorder="1" applyAlignment="1">
      <alignment horizontal="center"/>
      <protection/>
    </xf>
    <xf numFmtId="1" fontId="60" fillId="0" borderId="20" xfId="188" applyNumberFormat="1" applyFont="1" applyFill="1" applyBorder="1" applyAlignment="1">
      <alignment horizontal="center"/>
      <protection/>
    </xf>
    <xf numFmtId="1" fontId="60" fillId="0" borderId="21" xfId="188" applyNumberFormat="1" applyFont="1" applyBorder="1" applyAlignment="1">
      <alignment horizontal="center"/>
      <protection/>
    </xf>
    <xf numFmtId="0" fontId="0" fillId="0" borderId="4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1" fontId="74" fillId="0" borderId="10" xfId="0" applyNumberFormat="1" applyFont="1" applyBorder="1" applyAlignment="1">
      <alignment horizontal="center"/>
    </xf>
    <xf numFmtId="194" fontId="74" fillId="0" borderId="10" xfId="0" applyNumberFormat="1" applyFont="1" applyBorder="1" applyAlignment="1">
      <alignment horizontal="center"/>
    </xf>
    <xf numFmtId="2" fontId="74" fillId="0" borderId="10" xfId="0" applyNumberFormat="1" applyFont="1" applyBorder="1" applyAlignment="1">
      <alignment horizontal="center"/>
    </xf>
    <xf numFmtId="194" fontId="74" fillId="0" borderId="19" xfId="0" applyNumberFormat="1" applyFont="1" applyBorder="1" applyAlignment="1">
      <alignment horizontal="center"/>
    </xf>
    <xf numFmtId="1" fontId="85" fillId="0" borderId="10" xfId="0" applyNumberFormat="1" applyFont="1" applyBorder="1" applyAlignment="1">
      <alignment horizontal="center"/>
    </xf>
    <xf numFmtId="2" fontId="85" fillId="0" borderId="10" xfId="0" applyNumberFormat="1" applyFont="1" applyBorder="1" applyAlignment="1">
      <alignment horizontal="center"/>
    </xf>
    <xf numFmtId="194" fontId="85" fillId="0" borderId="19" xfId="0" applyNumberFormat="1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194" fontId="85" fillId="0" borderId="10" xfId="0" applyNumberFormat="1" applyFont="1" applyBorder="1" applyAlignment="1">
      <alignment horizontal="center"/>
    </xf>
    <xf numFmtId="0" fontId="85" fillId="0" borderId="10" xfId="0" applyFont="1" applyBorder="1" applyAlignment="1">
      <alignment horizontal="center" wrapText="1"/>
    </xf>
    <xf numFmtId="2" fontId="74" fillId="0" borderId="19" xfId="0" applyNumberFormat="1" applyFont="1" applyBorder="1" applyAlignment="1">
      <alignment horizontal="center"/>
    </xf>
    <xf numFmtId="0" fontId="74" fillId="0" borderId="22" xfId="0" applyFont="1" applyBorder="1" applyAlignment="1">
      <alignment/>
    </xf>
    <xf numFmtId="0" fontId="85" fillId="0" borderId="20" xfId="0" applyFont="1" applyBorder="1" applyAlignment="1">
      <alignment horizontal="center" wrapText="1"/>
    </xf>
    <xf numFmtId="0" fontId="85" fillId="0" borderId="20" xfId="0" applyFont="1" applyBorder="1" applyAlignment="1">
      <alignment horizontal="center"/>
    </xf>
    <xf numFmtId="194" fontId="85" fillId="0" borderId="20" xfId="0" applyNumberFormat="1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74" fillId="0" borderId="21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106" fillId="0" borderId="0" xfId="0" applyFont="1" applyBorder="1" applyAlignment="1">
      <alignment horizontal="center"/>
    </xf>
    <xf numFmtId="2" fontId="107" fillId="0" borderId="0" xfId="0" applyNumberFormat="1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103" fillId="0" borderId="0" xfId="0" applyFont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33" fillId="24" borderId="30" xfId="186" applyFont="1" applyFill="1" applyBorder="1" applyAlignment="1">
      <alignment horizontal="center" vertical="center" wrapText="1"/>
      <protection/>
    </xf>
    <xf numFmtId="0" fontId="0" fillId="25" borderId="18" xfId="0" applyFill="1" applyBorder="1" applyAlignment="1">
      <alignment wrapText="1"/>
    </xf>
    <xf numFmtId="3" fontId="58" fillId="25" borderId="0" xfId="0" applyNumberFormat="1" applyFont="1" applyFill="1" applyAlignment="1">
      <alignment/>
    </xf>
    <xf numFmtId="3" fontId="1" fillId="29" borderId="10" xfId="0" applyNumberFormat="1" applyFont="1" applyFill="1" applyBorder="1" applyAlignment="1">
      <alignment/>
    </xf>
    <xf numFmtId="3" fontId="1" fillId="29" borderId="19" xfId="0" applyNumberFormat="1" applyFont="1" applyFill="1" applyBorder="1" applyAlignment="1">
      <alignment/>
    </xf>
    <xf numFmtId="14" fontId="0" fillId="25" borderId="44" xfId="0" applyNumberFormat="1" applyFill="1" applyBorder="1" applyAlignment="1">
      <alignment vertical="justify"/>
    </xf>
    <xf numFmtId="0" fontId="7" fillId="0" borderId="10" xfId="0" applyNumberFormat="1" applyFont="1" applyFill="1" applyBorder="1" applyAlignment="1" applyProtection="1">
      <alignment/>
      <protection/>
    </xf>
    <xf numFmtId="1" fontId="0" fillId="25" borderId="14" xfId="0" applyNumberFormat="1" applyFill="1" applyBorder="1" applyAlignment="1">
      <alignment horizontal="center"/>
    </xf>
    <xf numFmtId="1" fontId="80" fillId="25" borderId="19" xfId="0" applyNumberFormat="1" applyFont="1" applyFill="1" applyBorder="1" applyAlignment="1">
      <alignment horizontal="center"/>
    </xf>
    <xf numFmtId="1" fontId="80" fillId="25" borderId="21" xfId="0" applyNumberFormat="1" applyFont="1" applyFill="1" applyBorder="1" applyAlignment="1">
      <alignment horizontal="center"/>
    </xf>
    <xf numFmtId="1" fontId="78" fillId="0" borderId="47" xfId="0" applyNumberFormat="1" applyFont="1" applyBorder="1" applyAlignment="1">
      <alignment horizontal="center"/>
    </xf>
    <xf numFmtId="0" fontId="73" fillId="0" borderId="17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3" fillId="28" borderId="19" xfId="0" applyFont="1" applyFill="1" applyBorder="1" applyAlignment="1">
      <alignment horizontal="center"/>
    </xf>
    <xf numFmtId="0" fontId="80" fillId="0" borderId="19" xfId="0" applyFont="1" applyBorder="1" applyAlignment="1">
      <alignment horizontal="center"/>
    </xf>
    <xf numFmtId="194" fontId="78" fillId="0" borderId="19" xfId="0" applyNumberFormat="1" applyFont="1" applyBorder="1" applyAlignment="1">
      <alignment horizontal="center"/>
    </xf>
    <xf numFmtId="193" fontId="73" fillId="28" borderId="19" xfId="0" applyNumberFormat="1" applyFont="1" applyFill="1" applyBorder="1" applyAlignment="1">
      <alignment horizontal="center"/>
    </xf>
    <xf numFmtId="193" fontId="78" fillId="0" borderId="19" xfId="0" applyNumberFormat="1" applyFont="1" applyBorder="1" applyAlignment="1">
      <alignment horizontal="center"/>
    </xf>
    <xf numFmtId="2" fontId="73" fillId="28" borderId="19" xfId="0" applyNumberFormat="1" applyFont="1" applyFill="1" applyBorder="1" applyAlignment="1">
      <alignment horizontal="center"/>
    </xf>
    <xf numFmtId="2" fontId="73" fillId="25" borderId="19" xfId="0" applyNumberFormat="1" applyFont="1" applyFill="1" applyBorder="1" applyAlignment="1">
      <alignment horizontal="center"/>
    </xf>
    <xf numFmtId="2" fontId="78" fillId="0" borderId="19" xfId="0" applyNumberFormat="1" applyFont="1" applyBorder="1" applyAlignment="1">
      <alignment horizontal="center"/>
    </xf>
    <xf numFmtId="0" fontId="78" fillId="0" borderId="33" xfId="0" applyFont="1" applyBorder="1" applyAlignment="1">
      <alignment horizontal="center"/>
    </xf>
    <xf numFmtId="0" fontId="73" fillId="0" borderId="30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" fontId="78" fillId="0" borderId="38" xfId="0" applyNumberFormat="1" applyFont="1" applyBorder="1" applyAlignment="1">
      <alignment horizontal="center"/>
    </xf>
    <xf numFmtId="1" fontId="73" fillId="25" borderId="20" xfId="0" applyNumberFormat="1" applyFont="1" applyFill="1" applyBorder="1" applyAlignment="1">
      <alignment horizontal="center"/>
    </xf>
    <xf numFmtId="1" fontId="78" fillId="28" borderId="47" xfId="0" applyNumberFormat="1" applyFont="1" applyFill="1" applyBorder="1" applyAlignment="1">
      <alignment horizontal="center"/>
    </xf>
    <xf numFmtId="1" fontId="78" fillId="28" borderId="38" xfId="0" applyNumberFormat="1" applyFont="1" applyFill="1" applyBorder="1" applyAlignment="1">
      <alignment horizontal="center"/>
    </xf>
    <xf numFmtId="193" fontId="78" fillId="25" borderId="10" xfId="0" applyNumberFormat="1" applyFont="1" applyFill="1" applyBorder="1" applyAlignment="1">
      <alignment horizontal="center"/>
    </xf>
    <xf numFmtId="194" fontId="25" fillId="25" borderId="10" xfId="0" applyNumberFormat="1" applyFont="1" applyFill="1" applyBorder="1" applyAlignment="1">
      <alignment horizontal="center" vertical="center" wrapText="1"/>
    </xf>
    <xf numFmtId="1" fontId="78" fillId="25" borderId="10" xfId="0" applyNumberFormat="1" applyFont="1" applyFill="1" applyBorder="1" applyAlignment="1">
      <alignment horizontal="center"/>
    </xf>
    <xf numFmtId="2" fontId="78" fillId="25" borderId="10" xfId="0" applyNumberFormat="1" applyFont="1" applyFill="1" applyBorder="1" applyAlignment="1">
      <alignment horizontal="center"/>
    </xf>
    <xf numFmtId="1" fontId="78" fillId="28" borderId="19" xfId="0" applyNumberFormat="1" applyFont="1" applyFill="1" applyBorder="1" applyAlignment="1">
      <alignment horizontal="center"/>
    </xf>
    <xf numFmtId="194" fontId="78" fillId="25" borderId="10" xfId="0" applyNumberFormat="1" applyFont="1" applyFill="1" applyBorder="1" applyAlignment="1">
      <alignment horizontal="center"/>
    </xf>
    <xf numFmtId="0" fontId="0" fillId="25" borderId="48" xfId="0" applyFill="1" applyBorder="1" applyAlignment="1">
      <alignment vertical="top" wrapText="1"/>
    </xf>
    <xf numFmtId="1" fontId="0" fillId="25" borderId="49" xfId="0" applyNumberForma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5" borderId="31" xfId="0" applyFill="1" applyBorder="1" applyAlignment="1">
      <alignment horizontal="center" vertical="center" wrapText="1"/>
    </xf>
    <xf numFmtId="1" fontId="73" fillId="0" borderId="14" xfId="0" applyNumberFormat="1" applyFont="1" applyBorder="1" applyAlignment="1">
      <alignment horizontal="center" vertical="center" wrapText="1"/>
    </xf>
    <xf numFmtId="194" fontId="73" fillId="0" borderId="14" xfId="0" applyNumberFormat="1" applyFont="1" applyBorder="1" applyAlignment="1">
      <alignment horizontal="center" vertical="center" wrapText="1"/>
    </xf>
    <xf numFmtId="1" fontId="73" fillId="0" borderId="17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190" fontId="101" fillId="24" borderId="0" xfId="143" applyNumberFormat="1" applyFill="1">
      <alignment/>
      <protection/>
    </xf>
    <xf numFmtId="1" fontId="73" fillId="25" borderId="24" xfId="0" applyNumberFormat="1" applyFont="1" applyFill="1" applyBorder="1" applyAlignment="1">
      <alignment horizontal="center"/>
    </xf>
    <xf numFmtId="194" fontId="81" fillId="25" borderId="24" xfId="0" applyNumberFormat="1" applyFont="1" applyFill="1" applyBorder="1" applyAlignment="1">
      <alignment horizontal="center"/>
    </xf>
    <xf numFmtId="1" fontId="73" fillId="25" borderId="3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01" fontId="29" fillId="24" borderId="0" xfId="0" applyNumberFormat="1" applyFont="1" applyFill="1" applyBorder="1" applyAlignment="1">
      <alignment wrapText="1"/>
    </xf>
    <xf numFmtId="49" fontId="33" fillId="24" borderId="16" xfId="186" applyNumberFormat="1" applyFont="1" applyFill="1" applyBorder="1" applyAlignment="1">
      <alignment horizontal="center" vertical="center" wrapText="1"/>
      <protection/>
    </xf>
    <xf numFmtId="0" fontId="53" fillId="0" borderId="14" xfId="0" applyFont="1" applyBorder="1" applyAlignment="1">
      <alignment vertical="center" wrapText="1"/>
    </xf>
    <xf numFmtId="0" fontId="56" fillId="0" borderId="40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49" fontId="27" fillId="24" borderId="18" xfId="186" applyNumberFormat="1" applyFont="1" applyFill="1" applyBorder="1" applyAlignment="1">
      <alignment horizontal="center" wrapText="1"/>
      <protection/>
    </xf>
    <xf numFmtId="49" fontId="27" fillId="24" borderId="22" xfId="186" applyNumberFormat="1" applyFont="1" applyFill="1" applyBorder="1" applyAlignment="1">
      <alignment horizontal="center" wrapText="1"/>
      <protection/>
    </xf>
    <xf numFmtId="1" fontId="0" fillId="25" borderId="10" xfId="0" applyNumberFormat="1" applyFill="1" applyBorder="1" applyAlignment="1">
      <alignment horizontal="center"/>
    </xf>
    <xf numFmtId="0" fontId="0" fillId="25" borderId="20" xfId="0" applyFill="1" applyBorder="1" applyAlignment="1">
      <alignment horizontal="center" vertical="center" wrapText="1"/>
    </xf>
    <xf numFmtId="0" fontId="40" fillId="24" borderId="0" xfId="155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Border="1" applyAlignment="1">
      <alignment/>
    </xf>
    <xf numFmtId="0" fontId="110" fillId="0" borderId="47" xfId="0" applyFont="1" applyBorder="1" applyAlignment="1">
      <alignment wrapText="1"/>
    </xf>
    <xf numFmtId="0" fontId="110" fillId="0" borderId="47" xfId="0" applyFont="1" applyBorder="1" applyAlignment="1">
      <alignment/>
    </xf>
    <xf numFmtId="0" fontId="78" fillId="0" borderId="47" xfId="0" applyFont="1" applyBorder="1" applyAlignment="1">
      <alignment/>
    </xf>
    <xf numFmtId="0" fontId="0" fillId="0" borderId="51" xfId="0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0" fillId="25" borderId="32" xfId="0" applyFill="1" applyBorder="1" applyAlignment="1">
      <alignment horizontal="center"/>
    </xf>
    <xf numFmtId="0" fontId="1" fillId="25" borderId="22" xfId="0" applyFont="1" applyFill="1" applyBorder="1" applyAlignment="1">
      <alignment/>
    </xf>
    <xf numFmtId="0" fontId="1" fillId="25" borderId="41" xfId="0" applyFont="1" applyFill="1" applyBorder="1" applyAlignment="1">
      <alignment/>
    </xf>
    <xf numFmtId="0" fontId="1" fillId="25" borderId="16" xfId="0" applyFont="1" applyFill="1" applyBorder="1" applyAlignment="1">
      <alignment/>
    </xf>
    <xf numFmtId="0" fontId="1" fillId="25" borderId="18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22" xfId="0" applyFill="1" applyBorder="1" applyAlignment="1">
      <alignment/>
    </xf>
    <xf numFmtId="0" fontId="33" fillId="24" borderId="0" xfId="186" applyFont="1" applyFill="1" applyBorder="1" applyAlignment="1">
      <alignment horizontal="left" vertical="center" wrapText="1"/>
      <protection/>
    </xf>
    <xf numFmtId="0" fontId="33" fillId="24" borderId="0" xfId="186" applyFont="1" applyFill="1" applyBorder="1" applyAlignment="1">
      <alignment horizontal="center" vertical="center" wrapText="1"/>
      <protection/>
    </xf>
    <xf numFmtId="195" fontId="33" fillId="24" borderId="0" xfId="219" applyNumberFormat="1" applyFont="1" applyFill="1" applyBorder="1" applyAlignment="1">
      <alignment horizontal="center" vertical="center" wrapText="1"/>
    </xf>
    <xf numFmtId="1" fontId="1" fillId="25" borderId="0" xfId="0" applyNumberFormat="1" applyFont="1" applyFill="1" applyBorder="1" applyAlignment="1">
      <alignment horizontal="center"/>
    </xf>
    <xf numFmtId="194" fontId="1" fillId="0" borderId="0" xfId="0" applyNumberFormat="1" applyFont="1" applyAlignment="1">
      <alignment/>
    </xf>
    <xf numFmtId="1" fontId="74" fillId="25" borderId="0" xfId="0" applyNumberFormat="1" applyFont="1" applyFill="1" applyBorder="1" applyAlignment="1">
      <alignment horizontal="center"/>
    </xf>
    <xf numFmtId="194" fontId="74" fillId="0" borderId="0" xfId="0" applyNumberFormat="1" applyFont="1" applyAlignment="1">
      <alignment/>
    </xf>
    <xf numFmtId="4" fontId="0" fillId="25" borderId="0" xfId="0" applyNumberFormat="1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" fillId="25" borderId="0" xfId="0" applyFont="1" applyFill="1" applyAlignment="1">
      <alignment/>
    </xf>
    <xf numFmtId="1" fontId="0" fillId="25" borderId="20" xfId="0" applyNumberFormat="1" applyFill="1" applyBorder="1" applyAlignment="1">
      <alignment/>
    </xf>
    <xf numFmtId="1" fontId="0" fillId="25" borderId="10" xfId="0" applyNumberFormat="1" applyFill="1" applyBorder="1" applyAlignment="1">
      <alignment wrapText="1"/>
    </xf>
    <xf numFmtId="1" fontId="0" fillId="25" borderId="31" xfId="0" applyNumberFormat="1" applyFill="1" applyBorder="1" applyAlignment="1">
      <alignment wrapText="1"/>
    </xf>
    <xf numFmtId="1" fontId="0" fillId="25" borderId="20" xfId="0" applyNumberFormat="1" applyFill="1" applyBorder="1" applyAlignment="1">
      <alignment wrapText="1"/>
    </xf>
    <xf numFmtId="0" fontId="1" fillId="25" borderId="32" xfId="0" applyFont="1" applyFill="1" applyBorder="1" applyAlignment="1">
      <alignment horizontal="center"/>
    </xf>
    <xf numFmtId="0" fontId="1" fillId="25" borderId="24" xfId="0" applyFont="1" applyFill="1" applyBorder="1" applyAlignment="1">
      <alignment wrapText="1"/>
    </xf>
    <xf numFmtId="1" fontId="1" fillId="25" borderId="24" xfId="0" applyNumberFormat="1" applyFont="1" applyFill="1" applyBorder="1" applyAlignment="1">
      <alignment/>
    </xf>
    <xf numFmtId="1" fontId="1" fillId="25" borderId="30" xfId="0" applyNumberFormat="1" applyFont="1" applyFill="1" applyBorder="1" applyAlignment="1">
      <alignment/>
    </xf>
    <xf numFmtId="0" fontId="0" fillId="25" borderId="45" xfId="0" applyFill="1" applyBorder="1" applyAlignment="1">
      <alignment wrapText="1"/>
    </xf>
    <xf numFmtId="194" fontId="0" fillId="25" borderId="45" xfId="0" applyNumberFormat="1" applyFill="1" applyBorder="1" applyAlignment="1">
      <alignment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1" fontId="60" fillId="25" borderId="20" xfId="188" applyNumberFormat="1" applyFont="1" applyFill="1" applyBorder="1" applyAlignment="1">
      <alignment horizontal="center"/>
      <protection/>
    </xf>
    <xf numFmtId="0" fontId="60" fillId="0" borderId="44" xfId="188" applyNumberFormat="1" applyFont="1" applyBorder="1" applyAlignment="1">
      <alignment horizontal="center" vertical="center"/>
      <protection/>
    </xf>
    <xf numFmtId="0" fontId="29" fillId="24" borderId="0" xfId="0" applyFont="1" applyFill="1" applyBorder="1" applyAlignment="1">
      <alignment horizontal="right" wrapText="1"/>
    </xf>
    <xf numFmtId="0" fontId="29" fillId="24" borderId="31" xfId="137" applyFont="1" applyFill="1" applyBorder="1" applyAlignment="1">
      <alignment horizontal="center" vertical="center" wrapText="1"/>
      <protection/>
    </xf>
    <xf numFmtId="0" fontId="29" fillId="24" borderId="33" xfId="137" applyFont="1" applyFill="1" applyBorder="1" applyAlignment="1">
      <alignment horizontal="center" vertical="center" wrapText="1"/>
      <protection/>
    </xf>
    <xf numFmtId="0" fontId="31" fillId="25" borderId="20" xfId="137" applyFont="1" applyFill="1" applyBorder="1" applyAlignment="1">
      <alignment horizontal="center" vertical="center" wrapText="1"/>
      <protection/>
    </xf>
    <xf numFmtId="0" fontId="31" fillId="25" borderId="21" xfId="137" applyFont="1" applyFill="1" applyBorder="1" applyAlignment="1">
      <alignment horizontal="center" vertical="center" wrapText="1"/>
      <protection/>
    </xf>
    <xf numFmtId="0" fontId="34" fillId="24" borderId="10" xfId="189" applyFont="1" applyFill="1" applyBorder="1" applyAlignment="1">
      <alignment horizontal="center" vertical="center" wrapText="1"/>
      <protection/>
    </xf>
    <xf numFmtId="43" fontId="34" fillId="24" borderId="10" xfId="219" applyFont="1" applyFill="1" applyBorder="1" applyAlignment="1">
      <alignment horizontal="center" vertical="center" wrapText="1"/>
    </xf>
    <xf numFmtId="1" fontId="34" fillId="24" borderId="19" xfId="189" applyNumberFormat="1" applyFont="1" applyFill="1" applyBorder="1" applyAlignment="1">
      <alignment horizontal="center" vertical="center" wrapText="1"/>
      <protection/>
    </xf>
    <xf numFmtId="195" fontId="34" fillId="24" borderId="10" xfId="219" applyNumberFormat="1" applyFont="1" applyFill="1" applyBorder="1" applyAlignment="1">
      <alignment horizontal="center" vertical="center" wrapText="1"/>
    </xf>
    <xf numFmtId="49" fontId="34" fillId="24" borderId="40" xfId="186" applyNumberFormat="1" applyFont="1" applyFill="1" applyBorder="1" applyAlignment="1">
      <alignment horizontal="center" vertical="center" wrapText="1"/>
      <protection/>
    </xf>
    <xf numFmtId="0" fontId="34" fillId="24" borderId="31" xfId="186" applyFont="1" applyFill="1" applyBorder="1" applyAlignment="1">
      <alignment horizontal="center" vertical="center" wrapText="1"/>
      <protection/>
    </xf>
    <xf numFmtId="1" fontId="34" fillId="24" borderId="33" xfId="189" applyNumberFormat="1" applyFont="1" applyFill="1" applyBorder="1" applyAlignment="1">
      <alignment horizontal="center" vertical="center" wrapText="1"/>
      <protection/>
    </xf>
    <xf numFmtId="49" fontId="34" fillId="24" borderId="0" xfId="186" applyNumberFormat="1" applyFont="1" applyFill="1" applyBorder="1" applyAlignment="1">
      <alignment horizontal="center" wrapText="1"/>
      <protection/>
    </xf>
    <xf numFmtId="49" fontId="34" fillId="24" borderId="16" xfId="189" applyNumberFormat="1" applyFont="1" applyFill="1" applyBorder="1" applyAlignment="1">
      <alignment horizontal="center" vertical="center" wrapText="1"/>
      <protection/>
    </xf>
    <xf numFmtId="0" fontId="34" fillId="24" borderId="14" xfId="189" applyFont="1" applyFill="1" applyBorder="1" applyAlignment="1">
      <alignment horizontal="left" vertical="center" wrapText="1"/>
      <protection/>
    </xf>
    <xf numFmtId="0" fontId="63" fillId="24" borderId="17" xfId="189" applyFont="1" applyFill="1" applyBorder="1" applyAlignment="1">
      <alignment horizontal="center" vertical="center" wrapText="1"/>
      <protection/>
    </xf>
    <xf numFmtId="49" fontId="33" fillId="24" borderId="0" xfId="186" applyNumberFormat="1" applyFont="1" applyFill="1" applyAlignment="1">
      <alignment wrapText="1"/>
      <protection/>
    </xf>
    <xf numFmtId="0" fontId="0" fillId="0" borderId="48" xfId="0" applyBorder="1" applyAlignment="1">
      <alignment horizontal="center"/>
    </xf>
    <xf numFmtId="0" fontId="27" fillId="24" borderId="0" xfId="0" applyFont="1" applyFill="1" applyBorder="1" applyAlignment="1">
      <alignment horizontal="right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vertical="center" wrapText="1"/>
    </xf>
    <xf numFmtId="0" fontId="29" fillId="24" borderId="20" xfId="0" applyFont="1" applyFill="1" applyBorder="1" applyAlignment="1">
      <alignment vertical="center" wrapText="1"/>
    </xf>
    <xf numFmtId="0" fontId="27" fillId="24" borderId="21" xfId="0" applyFont="1" applyFill="1" applyBorder="1" applyAlignment="1">
      <alignment vertical="center" wrapText="1"/>
    </xf>
    <xf numFmtId="0" fontId="44" fillId="0" borderId="0" xfId="188" applyNumberFormat="1" applyFont="1" applyAlignment="1">
      <alignment horizontal="center" vertical="center" wrapText="1"/>
      <protection/>
    </xf>
    <xf numFmtId="0" fontId="45" fillId="0" borderId="0" xfId="188" applyNumberFormat="1" applyFont="1" applyAlignment="1">
      <alignment horizontal="center" vertical="center"/>
      <protection/>
    </xf>
    <xf numFmtId="0" fontId="38" fillId="0" borderId="10" xfId="188" applyFont="1" applyBorder="1" applyAlignment="1">
      <alignment horizontal="center"/>
      <protection/>
    </xf>
    <xf numFmtId="0" fontId="30" fillId="0" borderId="0" xfId="186" applyFont="1" applyFill="1" applyAlignment="1">
      <alignment horizontal="right"/>
      <protection/>
    </xf>
    <xf numFmtId="0" fontId="29" fillId="0" borderId="0" xfId="188" applyFont="1" applyFill="1" applyAlignment="1">
      <alignment horizontal="center"/>
      <protection/>
    </xf>
    <xf numFmtId="14" fontId="38" fillId="0" borderId="10" xfId="188" applyNumberFormat="1" applyFont="1" applyFill="1" applyBorder="1" applyAlignment="1">
      <alignment horizontal="center" vertical="center" wrapText="1"/>
      <protection/>
    </xf>
    <xf numFmtId="0" fontId="31" fillId="0" borderId="11" xfId="188" applyNumberFormat="1" applyFont="1" applyFill="1" applyBorder="1" applyAlignment="1">
      <alignment horizontal="left" vertical="center" wrapText="1"/>
      <protection/>
    </xf>
    <xf numFmtId="0" fontId="30" fillId="0" borderId="54" xfId="188" applyNumberFormat="1" applyFont="1" applyFill="1" applyBorder="1" applyAlignment="1">
      <alignment horizontal="justify" vertical="center" wrapText="1"/>
      <protection/>
    </xf>
    <xf numFmtId="3" fontId="31" fillId="0" borderId="10" xfId="188" applyNumberFormat="1" applyFont="1" applyFill="1" applyBorder="1" applyAlignment="1">
      <alignment horizontal="center" vertical="center"/>
      <protection/>
    </xf>
    <xf numFmtId="3" fontId="37" fillId="0" borderId="10" xfId="188" applyNumberFormat="1" applyFont="1" applyFill="1" applyBorder="1" applyAlignment="1">
      <alignment horizontal="center" vertical="center"/>
      <protection/>
    </xf>
    <xf numFmtId="0" fontId="31" fillId="0" borderId="55" xfId="188" applyNumberFormat="1" applyFont="1" applyFill="1" applyBorder="1" applyAlignment="1">
      <alignment horizontal="justify" vertical="center" wrapText="1"/>
      <protection/>
    </xf>
    <xf numFmtId="1" fontId="31" fillId="0" borderId="31" xfId="188" applyNumberFormat="1" applyFont="1" applyFill="1" applyBorder="1" applyAlignment="1">
      <alignment horizontal="center" vertical="center"/>
      <protection/>
    </xf>
    <xf numFmtId="3" fontId="31" fillId="0" borderId="31" xfId="188" applyNumberFormat="1" applyFont="1" applyFill="1" applyBorder="1" applyAlignment="1">
      <alignment horizontal="center" vertical="center"/>
      <protection/>
    </xf>
    <xf numFmtId="3" fontId="31" fillId="0" borderId="14" xfId="188" applyNumberFormat="1" applyFont="1" applyFill="1" applyBorder="1" applyAlignment="1">
      <alignment horizontal="center" vertical="center"/>
      <protection/>
    </xf>
    <xf numFmtId="0" fontId="30" fillId="0" borderId="11" xfId="188" applyNumberFormat="1" applyFont="1" applyFill="1" applyBorder="1" applyAlignment="1">
      <alignment horizontal="left" vertical="center" wrapText="1"/>
      <protection/>
    </xf>
    <xf numFmtId="1" fontId="30" fillId="30" borderId="10" xfId="188" applyNumberFormat="1" applyFont="1" applyFill="1" applyBorder="1" applyAlignment="1">
      <alignment horizontal="center" vertical="center"/>
      <protection/>
    </xf>
    <xf numFmtId="0" fontId="29" fillId="0" borderId="0" xfId="188" applyFont="1" applyFill="1" applyAlignment="1">
      <alignment horizontal="left" vertical="center"/>
      <protection/>
    </xf>
    <xf numFmtId="0" fontId="27" fillId="0" borderId="0" xfId="188" applyFont="1" applyFill="1" applyAlignment="1">
      <alignment horizontal="left" vertical="center"/>
      <protection/>
    </xf>
    <xf numFmtId="3" fontId="27" fillId="0" borderId="0" xfId="188" applyNumberFormat="1" applyFont="1" applyFill="1" applyAlignment="1">
      <alignment horizontal="left" vertical="center"/>
      <protection/>
    </xf>
    <xf numFmtId="0" fontId="37" fillId="0" borderId="0" xfId="188" applyAlignment="1">
      <alignment horizontal="center"/>
      <protection/>
    </xf>
    <xf numFmtId="0" fontId="44" fillId="0" borderId="0" xfId="188" applyFont="1" applyAlignment="1">
      <alignment horizontal="center"/>
      <protection/>
    </xf>
    <xf numFmtId="0" fontId="51" fillId="0" borderId="20" xfId="188" applyNumberFormat="1" applyFont="1" applyBorder="1" applyAlignment="1">
      <alignment horizontal="center" vertical="center" wrapText="1"/>
      <protection/>
    </xf>
    <xf numFmtId="0" fontId="51" fillId="25" borderId="20" xfId="188" applyNumberFormat="1" applyFont="1" applyFill="1" applyBorder="1" applyAlignment="1">
      <alignment horizontal="center" vertical="center" wrapText="1"/>
      <protection/>
    </xf>
    <xf numFmtId="0" fontId="51" fillId="25" borderId="21" xfId="188" applyNumberFormat="1" applyFont="1" applyFill="1" applyBorder="1" applyAlignment="1">
      <alignment horizontal="center" vertical="center" wrapText="1"/>
      <protection/>
    </xf>
    <xf numFmtId="1" fontId="38" fillId="0" borderId="16" xfId="188" applyNumberFormat="1" applyFont="1" applyBorder="1" applyAlignment="1">
      <alignment horizontal="center" vertical="center"/>
      <protection/>
    </xf>
    <xf numFmtId="1" fontId="38" fillId="0" borderId="14" xfId="188" applyNumberFormat="1" applyFont="1" applyBorder="1" applyAlignment="1">
      <alignment horizontal="center" vertical="center"/>
      <protection/>
    </xf>
    <xf numFmtId="1" fontId="38" fillId="25" borderId="14" xfId="188" applyNumberFormat="1" applyFont="1" applyFill="1" applyBorder="1" applyAlignment="1">
      <alignment horizontal="center" vertical="center"/>
      <protection/>
    </xf>
    <xf numFmtId="0" fontId="37" fillId="25" borderId="17" xfId="188" applyFill="1" applyBorder="1" applyAlignment="1">
      <alignment horizontal="center"/>
      <protection/>
    </xf>
    <xf numFmtId="3" fontId="37" fillId="25" borderId="10" xfId="188" applyNumberFormat="1" applyFont="1" applyFill="1" applyBorder="1" applyAlignment="1">
      <alignment horizontal="center" vertical="center"/>
      <protection/>
    </xf>
    <xf numFmtId="3" fontId="37" fillId="25" borderId="19" xfId="188" applyNumberFormat="1" applyFill="1" applyBorder="1" applyAlignment="1">
      <alignment horizontal="center"/>
      <protection/>
    </xf>
    <xf numFmtId="3" fontId="37" fillId="25" borderId="19" xfId="188" applyNumberFormat="1" applyFont="1" applyFill="1" applyBorder="1" applyAlignment="1">
      <alignment horizontal="center" vertical="center"/>
      <protection/>
    </xf>
    <xf numFmtId="3" fontId="38" fillId="25" borderId="10" xfId="188" applyNumberFormat="1" applyFont="1" applyFill="1" applyBorder="1" applyAlignment="1">
      <alignment horizontal="center" vertical="center"/>
      <protection/>
    </xf>
    <xf numFmtId="3" fontId="38" fillId="25" borderId="19" xfId="188" applyNumberFormat="1" applyFont="1" applyFill="1" applyBorder="1" applyAlignment="1">
      <alignment horizontal="center" vertical="center"/>
      <protection/>
    </xf>
    <xf numFmtId="0" fontId="37" fillId="25" borderId="19" xfId="188" applyFill="1" applyBorder="1" applyAlignment="1">
      <alignment horizontal="center"/>
      <protection/>
    </xf>
    <xf numFmtId="3" fontId="38" fillId="25" borderId="20" xfId="188" applyNumberFormat="1" applyFont="1" applyFill="1" applyBorder="1" applyAlignment="1">
      <alignment horizontal="center" vertical="center"/>
      <protection/>
    </xf>
    <xf numFmtId="3" fontId="38" fillId="25" borderId="21" xfId="188" applyNumberFormat="1" applyFont="1" applyFill="1" applyBorder="1" applyAlignment="1">
      <alignment horizontal="center" vertical="center"/>
      <protection/>
    </xf>
    <xf numFmtId="1" fontId="0" fillId="25" borderId="24" xfId="0" applyNumberFormat="1" applyFill="1" applyBorder="1" applyAlignment="1">
      <alignment horizontal="center"/>
    </xf>
    <xf numFmtId="2" fontId="0" fillId="25" borderId="19" xfId="0" applyNumberFormat="1" applyFill="1" applyBorder="1" applyAlignment="1">
      <alignment horizontal="center"/>
    </xf>
    <xf numFmtId="2" fontId="0" fillId="25" borderId="10" xfId="0" applyNumberFormat="1" applyFont="1" applyFill="1" applyBorder="1" applyAlignment="1">
      <alignment horizontal="center"/>
    </xf>
    <xf numFmtId="0" fontId="102" fillId="0" borderId="0" xfId="0" applyFont="1" applyAlignment="1">
      <alignment/>
    </xf>
    <xf numFmtId="49" fontId="34" fillId="24" borderId="32" xfId="189" applyNumberFormat="1" applyFont="1" applyFill="1" applyBorder="1" applyAlignment="1">
      <alignment horizontal="center" vertical="center" wrapText="1"/>
      <protection/>
    </xf>
    <xf numFmtId="0" fontId="34" fillId="24" borderId="30" xfId="189" applyFont="1" applyFill="1" applyBorder="1" applyAlignment="1">
      <alignment horizontal="center" vertical="center" wrapText="1"/>
      <protection/>
    </xf>
    <xf numFmtId="0" fontId="33" fillId="24" borderId="56" xfId="189" applyFont="1" applyFill="1" applyBorder="1" applyAlignment="1">
      <alignment horizontal="center" vertical="center" wrapText="1"/>
      <protection/>
    </xf>
    <xf numFmtId="1" fontId="34" fillId="24" borderId="10" xfId="189" applyNumberFormat="1" applyFont="1" applyFill="1" applyBorder="1" applyAlignment="1">
      <alignment horizontal="center" vertical="center" wrapText="1"/>
      <protection/>
    </xf>
    <xf numFmtId="0" fontId="33" fillId="24" borderId="24" xfId="189" applyFont="1" applyFill="1" applyBorder="1" applyAlignment="1">
      <alignment vertical="center" wrapText="1"/>
      <protection/>
    </xf>
    <xf numFmtId="0" fontId="34" fillId="24" borderId="24" xfId="189" applyFont="1" applyFill="1" applyBorder="1" applyAlignment="1">
      <alignment horizontal="center" vertical="center" wrapText="1"/>
      <protection/>
    </xf>
    <xf numFmtId="193" fontId="0" fillId="25" borderId="10" xfId="0" applyNumberForma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201" fontId="31" fillId="25" borderId="14" xfId="208" applyNumberFormat="1" applyFont="1" applyFill="1" applyBorder="1" applyAlignment="1">
      <alignment horizontal="center" vertical="center" wrapText="1"/>
    </xf>
    <xf numFmtId="201" fontId="30" fillId="25" borderId="19" xfId="208" applyNumberFormat="1" applyFont="1" applyFill="1" applyBorder="1" applyAlignment="1">
      <alignment horizontal="center" vertical="center" wrapText="1"/>
    </xf>
    <xf numFmtId="3" fontId="31" fillId="25" borderId="10" xfId="0" applyNumberFormat="1" applyFont="1" applyFill="1" applyBorder="1" applyAlignment="1">
      <alignment horizontal="center" wrapText="1"/>
    </xf>
    <xf numFmtId="201" fontId="30" fillId="25" borderId="10" xfId="208" applyNumberFormat="1" applyFont="1" applyFill="1" applyBorder="1" applyAlignment="1">
      <alignment vertical="center" wrapText="1"/>
    </xf>
    <xf numFmtId="201" fontId="30" fillId="25" borderId="19" xfId="208" applyNumberFormat="1" applyFont="1" applyFill="1" applyBorder="1" applyAlignment="1">
      <alignment vertical="center" wrapText="1"/>
    </xf>
    <xf numFmtId="3" fontId="31" fillId="25" borderId="19" xfId="0" applyNumberFormat="1" applyFont="1" applyFill="1" applyBorder="1" applyAlignment="1">
      <alignment horizontal="center" wrapText="1"/>
    </xf>
    <xf numFmtId="201" fontId="31" fillId="25" borderId="19" xfId="208" applyNumberFormat="1" applyFont="1" applyFill="1" applyBorder="1" applyAlignment="1">
      <alignment horizontal="center" vertical="center" wrapText="1"/>
    </xf>
    <xf numFmtId="201" fontId="31" fillId="25" borderId="20" xfId="208" applyNumberFormat="1" applyFont="1" applyFill="1" applyBorder="1" applyAlignment="1">
      <alignment horizontal="center" vertical="center" wrapText="1"/>
    </xf>
    <xf numFmtId="201" fontId="31" fillId="25" borderId="21" xfId="208" applyNumberFormat="1" applyFont="1" applyFill="1" applyBorder="1" applyAlignment="1">
      <alignment horizontal="center" vertical="center" wrapText="1"/>
    </xf>
    <xf numFmtId="0" fontId="27" fillId="25" borderId="24" xfId="187" applyFont="1" applyFill="1" applyBorder="1" applyAlignment="1">
      <alignment horizontal="center" vertical="center" wrapText="1"/>
      <protection/>
    </xf>
    <xf numFmtId="1" fontId="27" fillId="25" borderId="24" xfId="187" applyNumberFormat="1" applyFont="1" applyFill="1" applyBorder="1" applyAlignment="1">
      <alignment horizontal="center" vertical="center" wrapText="1"/>
      <protection/>
    </xf>
    <xf numFmtId="0" fontId="27" fillId="25" borderId="10" xfId="187" applyFont="1" applyFill="1" applyBorder="1" applyAlignment="1">
      <alignment horizontal="center" vertical="center" wrapText="1"/>
      <protection/>
    </xf>
    <xf numFmtId="1" fontId="27" fillId="25" borderId="10" xfId="187" applyNumberFormat="1" applyFont="1" applyFill="1" applyBorder="1" applyAlignment="1">
      <alignment horizontal="center" vertical="center" wrapText="1"/>
      <protection/>
    </xf>
    <xf numFmtId="1" fontId="27" fillId="25" borderId="10" xfId="187" applyNumberFormat="1" applyFont="1" applyFill="1" applyBorder="1" applyAlignment="1">
      <alignment horizontal="center" vertical="center"/>
      <protection/>
    </xf>
    <xf numFmtId="1" fontId="27" fillId="25" borderId="19" xfId="187" applyNumberFormat="1" applyFont="1" applyFill="1" applyBorder="1" applyAlignment="1">
      <alignment horizontal="center" vertical="center"/>
      <protection/>
    </xf>
    <xf numFmtId="194" fontId="27" fillId="25" borderId="10" xfId="187" applyNumberFormat="1" applyFont="1" applyFill="1" applyBorder="1" applyAlignment="1">
      <alignment horizontal="center" vertical="center"/>
      <protection/>
    </xf>
    <xf numFmtId="194" fontId="27" fillId="25" borderId="19" xfId="187" applyNumberFormat="1" applyFont="1" applyFill="1" applyBorder="1" applyAlignment="1">
      <alignment horizontal="center" vertical="center"/>
      <protection/>
    </xf>
    <xf numFmtId="194" fontId="27" fillId="25" borderId="10" xfId="187" applyNumberFormat="1" applyFont="1" applyFill="1" applyBorder="1" applyAlignment="1">
      <alignment horizontal="center" vertical="center" wrapText="1"/>
      <protection/>
    </xf>
    <xf numFmtId="2" fontId="27" fillId="25" borderId="10" xfId="187" applyNumberFormat="1" applyFont="1" applyFill="1" applyBorder="1" applyAlignment="1">
      <alignment horizontal="center" vertical="center" wrapText="1"/>
      <protection/>
    </xf>
    <xf numFmtId="2" fontId="27" fillId="25" borderId="10" xfId="187" applyNumberFormat="1" applyFont="1" applyFill="1" applyBorder="1" applyAlignment="1">
      <alignment horizontal="center" vertical="center"/>
      <protection/>
    </xf>
    <xf numFmtId="2" fontId="27" fillId="25" borderId="19" xfId="187" applyNumberFormat="1" applyFont="1" applyFill="1" applyBorder="1" applyAlignment="1">
      <alignment horizontal="center" vertical="center"/>
      <protection/>
    </xf>
    <xf numFmtId="1" fontId="27" fillId="25" borderId="20" xfId="187" applyNumberFormat="1" applyFont="1" applyFill="1" applyBorder="1" applyAlignment="1">
      <alignment horizontal="center" vertical="center" wrapText="1"/>
      <protection/>
    </xf>
    <xf numFmtId="1" fontId="27" fillId="25" borderId="20" xfId="187" applyNumberFormat="1" applyFont="1" applyFill="1" applyBorder="1" applyAlignment="1">
      <alignment horizontal="center" vertical="center"/>
      <protection/>
    </xf>
    <xf numFmtId="0" fontId="101" fillId="25" borderId="21" xfId="143" applyFill="1" applyBorder="1" applyAlignment="1">
      <alignment vertical="center"/>
      <protection/>
    </xf>
    <xf numFmtId="0" fontId="27" fillId="25" borderId="16" xfId="187" applyFont="1" applyFill="1" applyBorder="1" applyAlignment="1">
      <alignment horizontal="center" vertical="center" wrapText="1"/>
      <protection/>
    </xf>
    <xf numFmtId="0" fontId="27" fillId="25" borderId="14" xfId="0" applyFont="1" applyFill="1" applyBorder="1" applyAlignment="1">
      <alignment horizontal="left" vertical="center" wrapText="1"/>
    </xf>
    <xf numFmtId="0" fontId="62" fillId="25" borderId="0" xfId="143" applyFont="1" applyFill="1" applyBorder="1">
      <alignment/>
      <protection/>
    </xf>
    <xf numFmtId="190" fontId="27" fillId="25" borderId="14" xfId="217" applyNumberFormat="1" applyFont="1" applyFill="1" applyBorder="1" applyAlignment="1">
      <alignment horizontal="center" vertical="center"/>
    </xf>
    <xf numFmtId="1" fontId="27" fillId="25" borderId="14" xfId="187" applyNumberFormat="1" applyFont="1" applyFill="1" applyBorder="1" applyAlignment="1">
      <alignment horizontal="center" vertical="center"/>
      <protection/>
    </xf>
    <xf numFmtId="190" fontId="27" fillId="25" borderId="17" xfId="210" applyNumberFormat="1" applyFont="1" applyFill="1" applyBorder="1" applyAlignment="1">
      <alignment horizontal="center" vertical="center"/>
    </xf>
    <xf numFmtId="0" fontId="27" fillId="25" borderId="18" xfId="187" applyFont="1" applyFill="1" applyBorder="1" applyAlignment="1">
      <alignment horizontal="center" vertical="center" wrapText="1"/>
      <protection/>
    </xf>
    <xf numFmtId="0" fontId="27" fillId="25" borderId="10" xfId="0" applyFont="1" applyFill="1" applyBorder="1" applyAlignment="1">
      <alignment horizontal="left" vertical="center" wrapText="1"/>
    </xf>
    <xf numFmtId="43" fontId="27" fillId="25" borderId="10" xfId="217" applyNumberFormat="1" applyFont="1" applyFill="1" applyBorder="1" applyAlignment="1">
      <alignment horizontal="center" vertical="center"/>
    </xf>
    <xf numFmtId="190" fontId="27" fillId="25" borderId="10" xfId="217" applyNumberFormat="1" applyFont="1" applyFill="1" applyBorder="1" applyAlignment="1">
      <alignment horizontal="center" vertical="center"/>
    </xf>
    <xf numFmtId="190" fontId="27" fillId="25" borderId="19" xfId="210" applyNumberFormat="1" applyFont="1" applyFill="1" applyBorder="1" applyAlignment="1">
      <alignment horizontal="center" vertical="center"/>
    </xf>
    <xf numFmtId="193" fontId="27" fillId="25" borderId="10" xfId="187" applyNumberFormat="1" applyFont="1" applyFill="1" applyBorder="1" applyAlignment="1">
      <alignment horizontal="center" vertical="center"/>
      <protection/>
    </xf>
    <xf numFmtId="0" fontId="29" fillId="25" borderId="22" xfId="187" applyFont="1" applyFill="1" applyBorder="1" applyAlignment="1">
      <alignment horizontal="center" vertical="center" wrapText="1"/>
      <protection/>
    </xf>
    <xf numFmtId="0" fontId="29" fillId="25" borderId="20" xfId="137" applyNumberFormat="1" applyFont="1" applyFill="1" applyBorder="1" applyAlignment="1">
      <alignment horizontal="center" vertical="center" wrapText="1"/>
      <protection/>
    </xf>
    <xf numFmtId="1" fontId="29" fillId="25" borderId="20" xfId="187" applyNumberFormat="1" applyFont="1" applyFill="1" applyBorder="1" applyAlignment="1">
      <alignment horizontal="center" vertical="center"/>
      <protection/>
    </xf>
    <xf numFmtId="190" fontId="29" fillId="25" borderId="20" xfId="210" applyNumberFormat="1" applyFont="1" applyFill="1" applyBorder="1" applyAlignment="1">
      <alignment horizontal="center" vertical="center"/>
    </xf>
    <xf numFmtId="190" fontId="29" fillId="25" borderId="21" xfId="210" applyNumberFormat="1" applyFont="1" applyFill="1" applyBorder="1" applyAlignment="1">
      <alignment horizontal="center" vertical="center"/>
    </xf>
    <xf numFmtId="195" fontId="34" fillId="25" borderId="10" xfId="219" applyNumberFormat="1" applyFont="1" applyFill="1" applyBorder="1" applyAlignment="1">
      <alignment horizontal="center" vertical="center" wrapText="1"/>
    </xf>
    <xf numFmtId="190" fontId="34" fillId="25" borderId="10" xfId="217" applyNumberFormat="1" applyFont="1" applyFill="1" applyBorder="1" applyAlignment="1">
      <alignment horizontal="center" vertical="center" wrapText="1"/>
    </xf>
    <xf numFmtId="190" fontId="33" fillId="25" borderId="10" xfId="219" applyNumberFormat="1" applyFont="1" applyFill="1" applyBorder="1" applyAlignment="1">
      <alignment horizontal="center" vertical="center" wrapText="1"/>
    </xf>
    <xf numFmtId="10" fontId="33" fillId="25" borderId="10" xfId="198" applyNumberFormat="1" applyFont="1" applyFill="1" applyBorder="1" applyAlignment="1">
      <alignment horizontal="center" vertical="center" wrapText="1"/>
    </xf>
    <xf numFmtId="43" fontId="34" fillId="25" borderId="10" xfId="219" applyNumberFormat="1" applyFont="1" applyFill="1" applyBorder="1" applyAlignment="1">
      <alignment horizontal="center" vertical="center" wrapText="1"/>
    </xf>
    <xf numFmtId="190" fontId="34" fillId="25" borderId="10" xfId="219" applyNumberFormat="1" applyFont="1" applyFill="1" applyBorder="1" applyAlignment="1">
      <alignment horizontal="center" vertical="center" wrapText="1"/>
    </xf>
    <xf numFmtId="10" fontId="34" fillId="25" borderId="10" xfId="198" applyNumberFormat="1" applyFont="1" applyFill="1" applyBorder="1" applyAlignment="1">
      <alignment horizontal="center" vertical="center" wrapText="1"/>
    </xf>
    <xf numFmtId="202" fontId="34" fillId="25" borderId="10" xfId="219" applyNumberFormat="1" applyFont="1" applyFill="1" applyBorder="1" applyAlignment="1">
      <alignment horizontal="center" vertical="center" wrapText="1"/>
    </xf>
    <xf numFmtId="203" fontId="34" fillId="25" borderId="10" xfId="219" applyNumberFormat="1" applyFont="1" applyFill="1" applyBorder="1" applyAlignment="1">
      <alignment horizontal="center" vertical="center" wrapText="1"/>
    </xf>
    <xf numFmtId="43" fontId="33" fillId="25" borderId="10" xfId="219" applyFont="1" applyFill="1" applyBorder="1" applyAlignment="1">
      <alignment horizontal="center" vertical="center" wrapText="1"/>
    </xf>
    <xf numFmtId="190" fontId="33" fillId="25" borderId="10" xfId="217" applyNumberFormat="1" applyFont="1" applyFill="1" applyBorder="1" applyAlignment="1">
      <alignment horizontal="center" vertical="center" wrapText="1"/>
    </xf>
    <xf numFmtId="190" fontId="33" fillId="25" borderId="0" xfId="189" applyNumberFormat="1" applyFont="1" applyFill="1" applyAlignment="1">
      <alignment vertical="center" wrapText="1"/>
      <protection/>
    </xf>
    <xf numFmtId="0" fontId="33" fillId="25" borderId="10" xfId="186" applyFont="1" applyFill="1" applyBorder="1" applyAlignment="1">
      <alignment horizontal="center" vertical="center" wrapText="1"/>
      <protection/>
    </xf>
    <xf numFmtId="0" fontId="29" fillId="25" borderId="10" xfId="153" applyFont="1" applyFill="1" applyBorder="1" applyAlignment="1">
      <alignment vertical="center"/>
      <protection/>
    </xf>
    <xf numFmtId="190" fontId="36" fillId="25" borderId="10" xfId="153" applyNumberFormat="1" applyFont="1" applyFill="1" applyBorder="1" applyAlignment="1">
      <alignment vertical="center" wrapText="1"/>
      <protection/>
    </xf>
    <xf numFmtId="194" fontId="34" fillId="25" borderId="10" xfId="0" applyNumberFormat="1" applyFont="1" applyFill="1" applyBorder="1" applyAlignment="1">
      <alignment horizontal="center" vertical="center" wrapText="1"/>
    </xf>
    <xf numFmtId="1" fontId="65" fillId="25" borderId="10" xfId="153" applyNumberFormat="1" applyFont="1" applyFill="1" applyBorder="1" applyAlignment="1">
      <alignment horizontal="center" vertical="center" wrapText="1"/>
      <protection/>
    </xf>
    <xf numFmtId="0" fontId="34" fillId="25" borderId="10" xfId="186" applyFont="1" applyFill="1" applyBorder="1" applyAlignment="1">
      <alignment horizontal="center" vertical="center" wrapText="1"/>
      <protection/>
    </xf>
    <xf numFmtId="0" fontId="36" fillId="25" borderId="10" xfId="153" applyFont="1" applyFill="1" applyBorder="1" applyAlignment="1">
      <alignment horizontal="center" vertical="center" wrapText="1"/>
      <protection/>
    </xf>
    <xf numFmtId="0" fontId="65" fillId="25" borderId="10" xfId="153" applyFont="1" applyFill="1" applyBorder="1" applyAlignment="1">
      <alignment horizontal="center" vertical="center" wrapText="1"/>
      <protection/>
    </xf>
    <xf numFmtId="190" fontId="65" fillId="25" borderId="10" xfId="211" applyNumberFormat="1" applyFont="1" applyFill="1" applyBorder="1" applyAlignment="1">
      <alignment horizontal="center" vertical="center" wrapText="1"/>
    </xf>
    <xf numFmtId="190" fontId="33" fillId="25" borderId="10" xfId="217" applyNumberFormat="1" applyFont="1" applyFill="1" applyBorder="1" applyAlignment="1">
      <alignment horizontal="right" vertical="center" wrapText="1"/>
    </xf>
    <xf numFmtId="190" fontId="65" fillId="25" borderId="10" xfId="153" applyNumberFormat="1" applyFont="1" applyFill="1" applyBorder="1" applyAlignment="1">
      <alignment horizontal="center" vertical="center" wrapText="1"/>
      <protection/>
    </xf>
    <xf numFmtId="190" fontId="34" fillId="25" borderId="10" xfId="217" applyNumberFormat="1" applyFont="1" applyFill="1" applyBorder="1" applyAlignment="1">
      <alignment horizontal="right" vertical="center" wrapText="1"/>
    </xf>
    <xf numFmtId="0" fontId="29" fillId="25" borderId="14" xfId="186" applyFont="1" applyFill="1" applyBorder="1" applyAlignment="1">
      <alignment horizontal="center" vertical="center" wrapText="1"/>
      <protection/>
    </xf>
    <xf numFmtId="194" fontId="36" fillId="25" borderId="14" xfId="186" applyNumberFormat="1" applyFont="1" applyFill="1" applyBorder="1" applyAlignment="1">
      <alignment horizontal="center" vertical="center" wrapText="1"/>
      <protection/>
    </xf>
    <xf numFmtId="194" fontId="36" fillId="25" borderId="17" xfId="186" applyNumberFormat="1" applyFont="1" applyFill="1" applyBorder="1" applyAlignment="1">
      <alignment horizontal="center" vertical="center" wrapText="1"/>
      <protection/>
    </xf>
    <xf numFmtId="0" fontId="33" fillId="25" borderId="10" xfId="189" applyFont="1" applyFill="1" applyBorder="1" applyAlignment="1">
      <alignment horizontal="center" vertical="center" wrapText="1"/>
      <protection/>
    </xf>
    <xf numFmtId="194" fontId="33" fillId="25" borderId="10" xfId="189" applyNumberFormat="1" applyFont="1" applyFill="1" applyBorder="1" applyAlignment="1">
      <alignment horizontal="center" vertical="center" wrapText="1"/>
      <protection/>
    </xf>
    <xf numFmtId="194" fontId="36" fillId="25" borderId="10" xfId="186" applyNumberFormat="1" applyFont="1" applyFill="1" applyBorder="1" applyAlignment="1">
      <alignment horizontal="center" vertical="center" wrapText="1"/>
      <protection/>
    </xf>
    <xf numFmtId="2" fontId="34" fillId="25" borderId="10" xfId="189" applyNumberFormat="1" applyFont="1" applyFill="1" applyBorder="1" applyAlignment="1">
      <alignment horizontal="center" vertical="center" wrapText="1"/>
      <protection/>
    </xf>
    <xf numFmtId="4" fontId="27" fillId="25" borderId="10" xfId="189" applyNumberFormat="1" applyFont="1" applyFill="1" applyBorder="1" applyAlignment="1">
      <alignment horizontal="center" vertical="center" wrapText="1"/>
      <protection/>
    </xf>
    <xf numFmtId="194" fontId="65" fillId="25" borderId="10" xfId="186" applyNumberFormat="1" applyFont="1" applyFill="1" applyBorder="1" applyAlignment="1">
      <alignment horizontal="center" vertical="center" wrapText="1"/>
      <protection/>
    </xf>
    <xf numFmtId="0" fontId="34" fillId="25" borderId="10" xfId="189" applyFont="1" applyFill="1" applyBorder="1" applyAlignment="1">
      <alignment horizontal="center" vertical="center" wrapText="1"/>
      <protection/>
    </xf>
    <xf numFmtId="4" fontId="27" fillId="25" borderId="10" xfId="186" applyNumberFormat="1" applyFont="1" applyFill="1" applyBorder="1" applyAlignment="1">
      <alignment horizontal="center" vertical="center" wrapText="1"/>
      <protection/>
    </xf>
    <xf numFmtId="186" fontId="27" fillId="25" borderId="10" xfId="186" applyNumberFormat="1" applyFont="1" applyFill="1" applyBorder="1" applyAlignment="1">
      <alignment horizontal="center" vertical="center" wrapText="1"/>
      <protection/>
    </xf>
    <xf numFmtId="194" fontId="33" fillId="25" borderId="20" xfId="189" applyNumberFormat="1" applyFont="1" applyFill="1" applyBorder="1" applyAlignment="1">
      <alignment horizontal="center" vertical="center" wrapText="1"/>
      <protection/>
    </xf>
    <xf numFmtId="2" fontId="34" fillId="25" borderId="20" xfId="189" applyNumberFormat="1" applyFont="1" applyFill="1" applyBorder="1" applyAlignment="1">
      <alignment horizontal="center" vertical="center" wrapText="1"/>
      <protection/>
    </xf>
    <xf numFmtId="4" fontId="27" fillId="25" borderId="20" xfId="186" applyNumberFormat="1" applyFont="1" applyFill="1" applyBorder="1" applyAlignment="1">
      <alignment horizontal="center" vertical="center" wrapText="1"/>
      <protection/>
    </xf>
    <xf numFmtId="194" fontId="65" fillId="25" borderId="20" xfId="186" applyNumberFormat="1" applyFont="1" applyFill="1" applyBorder="1" applyAlignment="1">
      <alignment horizontal="center" vertical="center" wrapText="1"/>
      <protection/>
    </xf>
    <xf numFmtId="0" fontId="34" fillId="25" borderId="20" xfId="189" applyFont="1" applyFill="1" applyBorder="1" applyAlignment="1">
      <alignment horizontal="center" vertical="center" wrapText="1"/>
      <protection/>
    </xf>
    <xf numFmtId="0" fontId="55" fillId="25" borderId="56" xfId="0" applyFont="1" applyFill="1" applyBorder="1" applyAlignment="1">
      <alignment horizontal="center" vertical="center" wrapText="1"/>
    </xf>
    <xf numFmtId="0" fontId="56" fillId="25" borderId="55" xfId="0" applyFont="1" applyFill="1" applyBorder="1" applyAlignment="1">
      <alignment horizontal="center" vertical="center"/>
    </xf>
    <xf numFmtId="0" fontId="56" fillId="25" borderId="55" xfId="0" applyFont="1" applyFill="1" applyBorder="1" applyAlignment="1">
      <alignment horizontal="center" vertical="center" wrapText="1"/>
    </xf>
    <xf numFmtId="3" fontId="29" fillId="25" borderId="11" xfId="186" applyNumberFormat="1" applyFont="1" applyFill="1" applyBorder="1" applyAlignment="1">
      <alignment horizontal="center" vertical="center" wrapText="1"/>
      <protection/>
    </xf>
    <xf numFmtId="3" fontId="29" fillId="25" borderId="11" xfId="189" applyNumberFormat="1" applyFont="1" applyFill="1" applyBorder="1" applyAlignment="1">
      <alignment horizontal="center" vertical="center" wrapText="1"/>
      <protection/>
    </xf>
    <xf numFmtId="3" fontId="29" fillId="25" borderId="20" xfId="186" applyNumberFormat="1" applyFont="1" applyFill="1" applyBorder="1" applyAlignment="1">
      <alignment horizontal="center" wrapText="1"/>
      <protection/>
    </xf>
    <xf numFmtId="0" fontId="0" fillId="25" borderId="15" xfId="0" applyFont="1" applyFill="1" applyBorder="1" applyAlignment="1">
      <alignment horizontal="center"/>
    </xf>
    <xf numFmtId="3" fontId="0" fillId="25" borderId="14" xfId="0" applyNumberFormat="1" applyFont="1" applyFill="1" applyBorder="1" applyAlignment="1">
      <alignment horizontal="center"/>
    </xf>
    <xf numFmtId="3" fontId="0" fillId="25" borderId="17" xfId="0" applyNumberFormat="1" applyFont="1" applyFill="1" applyBorder="1" applyAlignment="1">
      <alignment horizontal="center"/>
    </xf>
    <xf numFmtId="3" fontId="1" fillId="25" borderId="47" xfId="0" applyNumberFormat="1" applyFont="1" applyFill="1" applyBorder="1" applyAlignment="1">
      <alignment horizontal="center"/>
    </xf>
    <xf numFmtId="186" fontId="1" fillId="25" borderId="10" xfId="0" applyNumberFormat="1" applyFont="1" applyFill="1" applyBorder="1" applyAlignment="1">
      <alignment horizontal="center"/>
    </xf>
    <xf numFmtId="186" fontId="1" fillId="25" borderId="19" xfId="0" applyNumberFormat="1" applyFont="1" applyFill="1" applyBorder="1" applyAlignment="1">
      <alignment horizontal="center"/>
    </xf>
    <xf numFmtId="3" fontId="0" fillId="25" borderId="47" xfId="0" applyNumberFormat="1" applyFont="1" applyFill="1" applyBorder="1" applyAlignment="1">
      <alignment horizontal="center"/>
    </xf>
    <xf numFmtId="3" fontId="0" fillId="25" borderId="10" xfId="0" applyNumberFormat="1" applyFont="1" applyFill="1" applyBorder="1" applyAlignment="1">
      <alignment horizontal="center"/>
    </xf>
    <xf numFmtId="3" fontId="0" fillId="25" borderId="19" xfId="0" applyNumberFormat="1" applyFont="1" applyFill="1" applyBorder="1" applyAlignment="1">
      <alignment horizontal="center"/>
    </xf>
    <xf numFmtId="3" fontId="0" fillId="25" borderId="47" xfId="0" applyNumberFormat="1" applyFill="1" applyBorder="1" applyAlignment="1">
      <alignment horizontal="center"/>
    </xf>
    <xf numFmtId="3" fontId="78" fillId="25" borderId="47" xfId="0" applyNumberFormat="1" applyFont="1" applyFill="1" applyBorder="1" applyAlignment="1">
      <alignment horizontal="center" wrapText="1"/>
    </xf>
    <xf numFmtId="186" fontId="0" fillId="25" borderId="10" xfId="0" applyNumberFormat="1" applyFont="1" applyFill="1" applyBorder="1" applyAlignment="1">
      <alignment horizontal="center"/>
    </xf>
    <xf numFmtId="186" fontId="0" fillId="25" borderId="19" xfId="0" applyNumberFormat="1" applyFont="1" applyFill="1" applyBorder="1" applyAlignment="1">
      <alignment horizontal="center"/>
    </xf>
    <xf numFmtId="3" fontId="78" fillId="25" borderId="47" xfId="0" applyNumberFormat="1" applyFont="1" applyFill="1" applyBorder="1" applyAlignment="1">
      <alignment horizontal="center"/>
    </xf>
    <xf numFmtId="3" fontId="0" fillId="25" borderId="10" xfId="0" applyNumberFormat="1" applyFill="1" applyBorder="1" applyAlignment="1">
      <alignment horizontal="center"/>
    </xf>
    <xf numFmtId="3" fontId="0" fillId="25" borderId="19" xfId="0" applyNumberFormat="1" applyFill="1" applyBorder="1" applyAlignment="1">
      <alignment horizontal="center"/>
    </xf>
    <xf numFmtId="3" fontId="0" fillId="25" borderId="51" xfId="0" applyNumberFormat="1" applyFont="1" applyFill="1" applyBorder="1" applyAlignment="1">
      <alignment horizontal="center"/>
    </xf>
    <xf numFmtId="3" fontId="0" fillId="25" borderId="31" xfId="0" applyNumberFormat="1" applyFont="1" applyFill="1" applyBorder="1" applyAlignment="1">
      <alignment horizontal="center"/>
    </xf>
    <xf numFmtId="186" fontId="0" fillId="25" borderId="31" xfId="0" applyNumberFormat="1" applyFont="1" applyFill="1" applyBorder="1" applyAlignment="1">
      <alignment horizontal="center"/>
    </xf>
    <xf numFmtId="186" fontId="0" fillId="25" borderId="33" xfId="0" applyNumberFormat="1" applyFont="1" applyFill="1" applyBorder="1" applyAlignment="1">
      <alignment horizontal="center"/>
    </xf>
    <xf numFmtId="3" fontId="0" fillId="25" borderId="33" xfId="0" applyNumberFormat="1" applyFont="1" applyFill="1" applyBorder="1" applyAlignment="1">
      <alignment horizontal="center"/>
    </xf>
    <xf numFmtId="3" fontId="1" fillId="25" borderId="53" xfId="0" applyNumberFormat="1" applyFont="1" applyFill="1" applyBorder="1" applyAlignment="1">
      <alignment horizontal="center"/>
    </xf>
    <xf numFmtId="3" fontId="1" fillId="25" borderId="57" xfId="0" applyNumberFormat="1" applyFont="1" applyFill="1" applyBorder="1" applyAlignment="1">
      <alignment horizontal="center"/>
    </xf>
    <xf numFmtId="0" fontId="0" fillId="25" borderId="24" xfId="0" applyFill="1" applyBorder="1" applyAlignment="1">
      <alignment wrapText="1"/>
    </xf>
    <xf numFmtId="186" fontId="1" fillId="25" borderId="24" xfId="0" applyNumberFormat="1" applyFont="1" applyFill="1" applyBorder="1" applyAlignment="1">
      <alignment horizontal="center"/>
    </xf>
    <xf numFmtId="4" fontId="1" fillId="25" borderId="24" xfId="0" applyNumberFormat="1" applyFont="1" applyFill="1" applyBorder="1" applyAlignment="1">
      <alignment horizontal="center"/>
    </xf>
    <xf numFmtId="186" fontId="1" fillId="25" borderId="29" xfId="0" applyNumberFormat="1" applyFont="1" applyFill="1" applyBorder="1" applyAlignment="1">
      <alignment horizontal="center"/>
    </xf>
    <xf numFmtId="4" fontId="0" fillId="25" borderId="10" xfId="0" applyNumberFormat="1" applyFill="1" applyBorder="1" applyAlignment="1">
      <alignment horizontal="center"/>
    </xf>
    <xf numFmtId="186" fontId="0" fillId="25" borderId="11" xfId="0" applyNumberFormat="1" applyFont="1" applyFill="1" applyBorder="1" applyAlignment="1">
      <alignment horizontal="center"/>
    </xf>
    <xf numFmtId="4" fontId="1" fillId="25" borderId="10" xfId="0" applyNumberFormat="1" applyFont="1" applyFill="1" applyBorder="1" applyAlignment="1">
      <alignment horizontal="center"/>
    </xf>
    <xf numFmtId="186" fontId="1" fillId="25" borderId="11" xfId="0" applyNumberFormat="1" applyFont="1" applyFill="1" applyBorder="1" applyAlignment="1">
      <alignment horizontal="center"/>
    </xf>
    <xf numFmtId="186" fontId="0" fillId="25" borderId="11" xfId="0" applyNumberFormat="1" applyFill="1" applyBorder="1" applyAlignment="1">
      <alignment horizontal="center"/>
    </xf>
    <xf numFmtId="186" fontId="0" fillId="25" borderId="11" xfId="0" applyNumberFormat="1" applyFont="1" applyFill="1" applyBorder="1" applyAlignment="1">
      <alignment horizontal="center"/>
    </xf>
    <xf numFmtId="0" fontId="1" fillId="25" borderId="20" xfId="0" applyFont="1" applyFill="1" applyBorder="1" applyAlignment="1">
      <alignment/>
    </xf>
    <xf numFmtId="186" fontId="1" fillId="25" borderId="20" xfId="0" applyNumberFormat="1" applyFont="1" applyFill="1" applyBorder="1" applyAlignment="1">
      <alignment horizontal="center"/>
    </xf>
    <xf numFmtId="4" fontId="1" fillId="25" borderId="20" xfId="0" applyNumberFormat="1" applyFont="1" applyFill="1" applyBorder="1" applyAlignment="1">
      <alignment horizontal="center"/>
    </xf>
    <xf numFmtId="186" fontId="1" fillId="25" borderId="20" xfId="0" applyNumberFormat="1" applyFont="1" applyFill="1" applyBorder="1" applyAlignment="1">
      <alignment horizontal="center"/>
    </xf>
    <xf numFmtId="186" fontId="51" fillId="25" borderId="58" xfId="0" applyNumberFormat="1" applyFont="1" applyFill="1" applyBorder="1" applyAlignment="1">
      <alignment horizontal="center"/>
    </xf>
    <xf numFmtId="0" fontId="1" fillId="25" borderId="14" xfId="0" applyFont="1" applyFill="1" applyBorder="1" applyAlignment="1">
      <alignment/>
    </xf>
    <xf numFmtId="0" fontId="1" fillId="25" borderId="14" xfId="0" applyFont="1" applyFill="1" applyBorder="1" applyAlignment="1">
      <alignment horizontal="center"/>
    </xf>
    <xf numFmtId="2" fontId="1" fillId="25" borderId="14" xfId="0" applyNumberFormat="1" applyFont="1" applyFill="1" applyBorder="1" applyAlignment="1">
      <alignment horizontal="center"/>
    </xf>
    <xf numFmtId="2" fontId="1" fillId="25" borderId="17" xfId="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9" xfId="0" applyFont="1" applyFill="1" applyBorder="1" applyAlignment="1">
      <alignment/>
    </xf>
    <xf numFmtId="49" fontId="0" fillId="25" borderId="10" xfId="0" applyNumberFormat="1" applyFill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9" fontId="78" fillId="25" borderId="10" xfId="0" applyNumberFormat="1" applyFont="1" applyFill="1" applyBorder="1" applyAlignment="1">
      <alignment/>
    </xf>
    <xf numFmtId="2" fontId="1" fillId="25" borderId="19" xfId="0" applyNumberFormat="1" applyFont="1" applyFill="1" applyBorder="1" applyAlignment="1">
      <alignment/>
    </xf>
    <xf numFmtId="0" fontId="0" fillId="25" borderId="19" xfId="0" applyFont="1" applyFill="1" applyBorder="1" applyAlignment="1">
      <alignment/>
    </xf>
    <xf numFmtId="4" fontId="1" fillId="25" borderId="10" xfId="0" applyNumberFormat="1" applyFont="1" applyFill="1" applyBorder="1" applyAlignment="1">
      <alignment horizontal="right"/>
    </xf>
    <xf numFmtId="2" fontId="0" fillId="25" borderId="19" xfId="0" applyNumberFormat="1" applyFont="1" applyFill="1" applyBorder="1" applyAlignment="1">
      <alignment/>
    </xf>
    <xf numFmtId="49" fontId="1" fillId="25" borderId="10" xfId="0" applyNumberFormat="1" applyFont="1" applyFill="1" applyBorder="1" applyAlignment="1">
      <alignment/>
    </xf>
    <xf numFmtId="4" fontId="0" fillId="25" borderId="10" xfId="0" applyNumberFormat="1" applyFill="1" applyBorder="1" applyAlignment="1">
      <alignment horizontal="right"/>
    </xf>
    <xf numFmtId="0" fontId="58" fillId="25" borderId="10" xfId="0" applyFont="1" applyFill="1" applyBorder="1" applyAlignment="1">
      <alignment/>
    </xf>
    <xf numFmtId="4" fontId="55" fillId="25" borderId="10" xfId="0" applyNumberFormat="1" applyFont="1" applyFill="1" applyBorder="1" applyAlignment="1">
      <alignment horizontal="right"/>
    </xf>
    <xf numFmtId="0" fontId="0" fillId="25" borderId="31" xfId="0" applyFill="1" applyBorder="1" applyAlignment="1">
      <alignment/>
    </xf>
    <xf numFmtId="4" fontId="0" fillId="25" borderId="31" xfId="0" applyNumberFormat="1" applyFill="1" applyBorder="1" applyAlignment="1">
      <alignment horizontal="right"/>
    </xf>
    <xf numFmtId="0" fontId="0" fillId="25" borderId="33" xfId="0" applyFill="1" applyBorder="1" applyAlignment="1">
      <alignment/>
    </xf>
    <xf numFmtId="0" fontId="0" fillId="25" borderId="11" xfId="0" applyFill="1" applyBorder="1" applyAlignment="1">
      <alignment/>
    </xf>
    <xf numFmtId="2" fontId="85" fillId="25" borderId="44" xfId="0" applyNumberFormat="1" applyFont="1" applyFill="1" applyBorder="1" applyAlignment="1">
      <alignment/>
    </xf>
    <xf numFmtId="4" fontId="1" fillId="25" borderId="36" xfId="0" applyNumberFormat="1" applyFont="1" applyFill="1" applyBorder="1" applyAlignment="1">
      <alignment horizontal="center"/>
    </xf>
    <xf numFmtId="0" fontId="1" fillId="25" borderId="37" xfId="0" applyFont="1" applyFill="1" applyBorder="1" applyAlignment="1">
      <alignment/>
    </xf>
    <xf numFmtId="0" fontId="78" fillId="25" borderId="14" xfId="0" applyFont="1" applyFill="1" applyBorder="1" applyAlignment="1">
      <alignment/>
    </xf>
    <xf numFmtId="186" fontId="0" fillId="25" borderId="14" xfId="0" applyNumberFormat="1" applyFill="1" applyBorder="1" applyAlignment="1">
      <alignment horizontal="right"/>
    </xf>
    <xf numFmtId="186" fontId="0" fillId="25" borderId="17" xfId="0" applyNumberFormat="1" applyFill="1" applyBorder="1" applyAlignment="1">
      <alignment/>
    </xf>
    <xf numFmtId="186" fontId="0" fillId="25" borderId="10" xfId="0" applyNumberFormat="1" applyFill="1" applyBorder="1" applyAlignment="1">
      <alignment horizontal="right"/>
    </xf>
    <xf numFmtId="0" fontId="25" fillId="25" borderId="10" xfId="0" applyFont="1" applyFill="1" applyBorder="1" applyAlignment="1">
      <alignment wrapText="1"/>
    </xf>
    <xf numFmtId="0" fontId="78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0" fontId="78" fillId="25" borderId="10" xfId="0" applyFont="1" applyFill="1" applyBorder="1" applyAlignment="1">
      <alignment horizontal="left"/>
    </xf>
    <xf numFmtId="0" fontId="25" fillId="25" borderId="10" xfId="0" applyFont="1" applyFill="1" applyBorder="1" applyAlignment="1">
      <alignment/>
    </xf>
    <xf numFmtId="186" fontId="0" fillId="25" borderId="10" xfId="0" applyNumberFormat="1" applyFont="1" applyFill="1" applyBorder="1" applyAlignment="1">
      <alignment horizontal="right"/>
    </xf>
    <xf numFmtId="186" fontId="0" fillId="25" borderId="10" xfId="0" applyNumberFormat="1" applyFont="1" applyFill="1" applyBorder="1" applyAlignment="1">
      <alignment horizontal="right"/>
    </xf>
    <xf numFmtId="4" fontId="0" fillId="25" borderId="0" xfId="0" applyNumberFormat="1" applyFill="1" applyBorder="1" applyAlignment="1">
      <alignment/>
    </xf>
    <xf numFmtId="0" fontId="37" fillId="25" borderId="0" xfId="0" applyFont="1" applyFill="1" applyBorder="1" applyAlignment="1">
      <alignment horizontal="left"/>
    </xf>
    <xf numFmtId="186" fontId="1" fillId="25" borderId="10" xfId="0" applyNumberFormat="1" applyFont="1" applyFill="1" applyBorder="1" applyAlignment="1">
      <alignment horizontal="right"/>
    </xf>
    <xf numFmtId="186" fontId="1" fillId="25" borderId="17" xfId="0" applyNumberFormat="1" applyFont="1" applyFill="1" applyBorder="1" applyAlignment="1">
      <alignment/>
    </xf>
    <xf numFmtId="0" fontId="0" fillId="25" borderId="10" xfId="0" applyFill="1" applyBorder="1" applyAlignment="1">
      <alignment horizontal="left"/>
    </xf>
    <xf numFmtId="49" fontId="0" fillId="25" borderId="20" xfId="0" applyNumberFormat="1" applyFill="1" applyBorder="1" applyAlignment="1">
      <alignment/>
    </xf>
    <xf numFmtId="4" fontId="0" fillId="25" borderId="20" xfId="118" applyNumberFormat="1" applyFont="1" applyFill="1" applyBorder="1" applyAlignment="1">
      <alignment/>
    </xf>
    <xf numFmtId="0" fontId="0" fillId="25" borderId="21" xfId="0" applyFill="1" applyBorder="1" applyAlignment="1">
      <alignment/>
    </xf>
    <xf numFmtId="186" fontId="1" fillId="25" borderId="30" xfId="0" applyNumberFormat="1" applyFont="1" applyFill="1" applyBorder="1" applyAlignment="1">
      <alignment horizontal="center"/>
    </xf>
    <xf numFmtId="186" fontId="0" fillId="25" borderId="19" xfId="0" applyNumberFormat="1" applyFill="1" applyBorder="1" applyAlignment="1">
      <alignment horizontal="center"/>
    </xf>
    <xf numFmtId="186" fontId="1" fillId="25" borderId="58" xfId="0" applyNumberFormat="1" applyFont="1" applyFill="1" applyBorder="1" applyAlignment="1">
      <alignment horizontal="center"/>
    </xf>
    <xf numFmtId="186" fontId="1" fillId="25" borderId="21" xfId="0" applyNumberFormat="1" applyFont="1" applyFill="1" applyBorder="1" applyAlignment="1">
      <alignment horizontal="center"/>
    </xf>
    <xf numFmtId="1" fontId="74" fillId="0" borderId="19" xfId="0" applyNumberFormat="1" applyFont="1" applyBorder="1" applyAlignment="1">
      <alignment horizontal="center"/>
    </xf>
    <xf numFmtId="1" fontId="74" fillId="0" borderId="21" xfId="0" applyNumberFormat="1" applyFont="1" applyBorder="1" applyAlignment="1">
      <alignment horizontal="center"/>
    </xf>
    <xf numFmtId="1" fontId="74" fillId="0" borderId="30" xfId="0" applyNumberFormat="1" applyFont="1" applyBorder="1" applyAlignment="1">
      <alignment horizontal="center"/>
    </xf>
    <xf numFmtId="201" fontId="27" fillId="25" borderId="14" xfId="0" applyNumberFormat="1" applyFont="1" applyFill="1" applyBorder="1" applyAlignment="1">
      <alignment horizontal="center" vertical="center" wrapText="1"/>
    </xf>
    <xf numFmtId="201" fontId="27" fillId="25" borderId="14" xfId="208" applyNumberFormat="1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186" fontId="27" fillId="25" borderId="14" xfId="208" applyNumberFormat="1" applyFont="1" applyFill="1" applyBorder="1" applyAlignment="1">
      <alignment horizontal="center" vertical="center" wrapText="1"/>
    </xf>
    <xf numFmtId="3" fontId="27" fillId="25" borderId="14" xfId="208" applyNumberFormat="1" applyFont="1" applyFill="1" applyBorder="1" applyAlignment="1">
      <alignment horizontal="center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186" fontId="27" fillId="25" borderId="14" xfId="0" applyNumberFormat="1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201" fontId="29" fillId="25" borderId="20" xfId="0" applyNumberFormat="1" applyFont="1" applyFill="1" applyBorder="1" applyAlignment="1">
      <alignment horizontal="center" vertical="center" wrapText="1"/>
    </xf>
    <xf numFmtId="0" fontId="29" fillId="25" borderId="20" xfId="0" applyFont="1" applyFill="1" applyBorder="1" applyAlignment="1">
      <alignment horizontal="center" vertical="center" wrapText="1"/>
    </xf>
    <xf numFmtId="186" fontId="29" fillId="25" borderId="20" xfId="208" applyNumberFormat="1" applyFont="1" applyFill="1" applyBorder="1" applyAlignment="1">
      <alignment horizontal="right" vertical="center" wrapText="1"/>
    </xf>
    <xf numFmtId="3" fontId="29" fillId="25" borderId="20" xfId="208" applyNumberFormat="1" applyFont="1" applyFill="1" applyBorder="1" applyAlignment="1">
      <alignment horizontal="center" vertical="center" wrapText="1"/>
    </xf>
    <xf numFmtId="3" fontId="29" fillId="25" borderId="20" xfId="0" applyNumberFormat="1" applyFont="1" applyFill="1" applyBorder="1" applyAlignment="1">
      <alignment horizontal="center" vertical="center" wrapText="1"/>
    </xf>
    <xf numFmtId="186" fontId="29" fillId="25" borderId="20" xfId="0" applyNumberFormat="1" applyFont="1" applyFill="1" applyBorder="1" applyAlignment="1">
      <alignment horizontal="right" vertical="center" wrapText="1"/>
    </xf>
    <xf numFmtId="3" fontId="29" fillId="25" borderId="59" xfId="0" applyNumberFormat="1" applyFont="1" applyFill="1" applyBorder="1" applyAlignment="1">
      <alignment horizontal="center" vertical="center" wrapText="1"/>
    </xf>
    <xf numFmtId="0" fontId="29" fillId="25" borderId="21" xfId="0" applyFont="1" applyFill="1" applyBorder="1" applyAlignment="1">
      <alignment horizontal="center" vertical="center" wrapText="1"/>
    </xf>
    <xf numFmtId="1" fontId="0" fillId="25" borderId="10" xfId="0" applyNumberFormat="1" applyFill="1" applyBorder="1" applyAlignment="1">
      <alignment horizontal="center"/>
    </xf>
    <xf numFmtId="1" fontId="0" fillId="25" borderId="19" xfId="0" applyNumberForma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38" fillId="0" borderId="30" xfId="188" applyNumberFormat="1" applyFont="1" applyBorder="1" applyAlignment="1">
      <alignment horizontal="center" vertical="center" wrapText="1"/>
      <protection/>
    </xf>
    <xf numFmtId="1" fontId="60" fillId="0" borderId="19" xfId="188" applyNumberFormat="1" applyFont="1" applyFill="1" applyBorder="1" applyAlignment="1">
      <alignment horizontal="center"/>
      <protection/>
    </xf>
    <xf numFmtId="1" fontId="57" fillId="0" borderId="19" xfId="188" applyNumberFormat="1" applyFont="1" applyFill="1" applyBorder="1" applyAlignment="1">
      <alignment horizontal="center"/>
      <protection/>
    </xf>
    <xf numFmtId="1" fontId="61" fillId="0" borderId="19" xfId="188" applyNumberFormat="1" applyFont="1" applyBorder="1" applyAlignment="1">
      <alignment horizontal="center"/>
      <protection/>
    </xf>
    <xf numFmtId="1" fontId="61" fillId="0" borderId="19" xfId="188" applyNumberFormat="1" applyFont="1" applyBorder="1" applyAlignment="1">
      <alignment horizontal="center"/>
      <protection/>
    </xf>
    <xf numFmtId="1" fontId="61" fillId="0" borderId="20" xfId="188" applyNumberFormat="1" applyFont="1" applyBorder="1" applyAlignment="1">
      <alignment horizontal="center"/>
      <protection/>
    </xf>
    <xf numFmtId="1" fontId="61" fillId="0" borderId="20" xfId="188" applyNumberFormat="1" applyFont="1" applyBorder="1" applyAlignment="1">
      <alignment horizontal="center"/>
      <protection/>
    </xf>
    <xf numFmtId="1" fontId="61" fillId="0" borderId="21" xfId="188" applyNumberFormat="1" applyFont="1" applyBorder="1" applyAlignment="1">
      <alignment horizontal="center"/>
      <protection/>
    </xf>
    <xf numFmtId="0" fontId="43" fillId="0" borderId="20" xfId="188" applyNumberFormat="1" applyFont="1" applyBorder="1" applyAlignment="1">
      <alignment horizontal="center" vertical="center" wrapText="1"/>
      <protection/>
    </xf>
    <xf numFmtId="0" fontId="43" fillId="25" borderId="20" xfId="188" applyNumberFormat="1" applyFont="1" applyFill="1" applyBorder="1" applyAlignment="1">
      <alignment horizontal="center" vertical="center" wrapText="1"/>
      <protection/>
    </xf>
    <xf numFmtId="0" fontId="43" fillId="0" borderId="21" xfId="188" applyNumberFormat="1" applyFont="1" applyBorder="1" applyAlignment="1">
      <alignment horizontal="center" vertical="center" wrapText="1"/>
      <protection/>
    </xf>
    <xf numFmtId="1" fontId="60" fillId="0" borderId="17" xfId="188" applyNumberFormat="1" applyFont="1" applyFill="1" applyBorder="1" applyAlignment="1">
      <alignment horizontal="center"/>
      <protection/>
    </xf>
    <xf numFmtId="1" fontId="38" fillId="0" borderId="44" xfId="188" applyNumberFormat="1" applyFont="1" applyBorder="1" applyAlignment="1">
      <alignment horizontal="center" vertical="center"/>
      <protection/>
    </xf>
    <xf numFmtId="1" fontId="38" fillId="0" borderId="36" xfId="188" applyNumberFormat="1" applyFont="1" applyBorder="1" applyAlignment="1">
      <alignment horizontal="center" vertical="center"/>
      <protection/>
    </xf>
    <xf numFmtId="1" fontId="38" fillId="25" borderId="36" xfId="188" applyNumberFormat="1" applyFont="1" applyFill="1" applyBorder="1" applyAlignment="1">
      <alignment horizontal="center" vertical="center"/>
      <protection/>
    </xf>
    <xf numFmtId="0" fontId="38" fillId="0" borderId="37" xfId="188" applyFont="1" applyFill="1" applyBorder="1" applyAlignment="1">
      <alignment horizontal="center"/>
      <protection/>
    </xf>
    <xf numFmtId="3" fontId="30" fillId="30" borderId="10" xfId="0" applyNumberFormat="1" applyFont="1" applyFill="1" applyBorder="1" applyAlignment="1">
      <alignment horizontal="center" wrapText="1"/>
    </xf>
    <xf numFmtId="2" fontId="34" fillId="0" borderId="0" xfId="186" applyNumberFormat="1" applyFont="1" applyFill="1" applyAlignment="1">
      <alignment horizontal="center" wrapText="1"/>
      <protection/>
    </xf>
    <xf numFmtId="194" fontId="65" fillId="25" borderId="17" xfId="186" applyNumberFormat="1" applyFont="1" applyFill="1" applyBorder="1" applyAlignment="1">
      <alignment horizontal="center" vertical="center" wrapText="1"/>
      <protection/>
    </xf>
    <xf numFmtId="3" fontId="0" fillId="25" borderId="19" xfId="0" applyNumberFormat="1" applyFont="1" applyFill="1" applyBorder="1" applyAlignment="1">
      <alignment/>
    </xf>
    <xf numFmtId="1" fontId="1" fillId="29" borderId="19" xfId="0" applyNumberFormat="1" applyFont="1" applyFill="1" applyBorder="1" applyAlignment="1">
      <alignment/>
    </xf>
    <xf numFmtId="0" fontId="58" fillId="25" borderId="0" xfId="0" applyFont="1" applyFill="1" applyAlignment="1">
      <alignment/>
    </xf>
    <xf numFmtId="3" fontId="44" fillId="25" borderId="0" xfId="0" applyNumberFormat="1" applyFont="1" applyFill="1" applyAlignment="1">
      <alignment/>
    </xf>
    <xf numFmtId="0" fontId="44" fillId="25" borderId="0" xfId="0" applyFont="1" applyFill="1" applyAlignment="1">
      <alignment/>
    </xf>
    <xf numFmtId="1" fontId="73" fillId="0" borderId="15" xfId="0" applyNumberFormat="1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1" fontId="78" fillId="0" borderId="60" xfId="0" applyNumberFormat="1" applyFont="1" applyBorder="1" applyAlignment="1">
      <alignment horizontal="center" vertical="center" wrapText="1"/>
    </xf>
    <xf numFmtId="194" fontId="25" fillId="0" borderId="47" xfId="0" applyNumberFormat="1" applyFont="1" applyBorder="1" applyAlignment="1">
      <alignment horizontal="center" vertical="center" wrapText="1"/>
    </xf>
    <xf numFmtId="193" fontId="73" fillId="25" borderId="47" xfId="0" applyNumberFormat="1" applyFont="1" applyFill="1" applyBorder="1" applyAlignment="1">
      <alignment horizontal="center"/>
    </xf>
    <xf numFmtId="1" fontId="73" fillId="27" borderId="60" xfId="0" applyNumberFormat="1" applyFont="1" applyFill="1" applyBorder="1" applyAlignment="1">
      <alignment horizontal="center"/>
    </xf>
    <xf numFmtId="1" fontId="78" fillId="25" borderId="60" xfId="0" applyNumberFormat="1" applyFont="1" applyFill="1" applyBorder="1" applyAlignment="1">
      <alignment horizontal="center"/>
    </xf>
    <xf numFmtId="193" fontId="73" fillId="0" borderId="47" xfId="0" applyNumberFormat="1" applyFont="1" applyBorder="1" applyAlignment="1">
      <alignment horizontal="center"/>
    </xf>
    <xf numFmtId="1" fontId="78" fillId="0" borderId="60" xfId="0" applyNumberFormat="1" applyFont="1" applyBorder="1" applyAlignment="1">
      <alignment horizontal="center"/>
    </xf>
    <xf numFmtId="1" fontId="78" fillId="28" borderId="60" xfId="0" applyNumberFormat="1" applyFont="1" applyFill="1" applyBorder="1" applyAlignment="1">
      <alignment horizontal="center"/>
    </xf>
    <xf numFmtId="2" fontId="73" fillId="0" borderId="47" xfId="0" applyNumberFormat="1" applyFont="1" applyBorder="1" applyAlignment="1">
      <alignment horizontal="center"/>
    </xf>
    <xf numFmtId="1" fontId="73" fillId="28" borderId="60" xfId="0" applyNumberFormat="1" applyFont="1" applyFill="1" applyBorder="1" applyAlignment="1">
      <alignment horizontal="center"/>
    </xf>
    <xf numFmtId="1" fontId="78" fillId="0" borderId="60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2" fontId="78" fillId="0" borderId="47" xfId="0" applyNumberFormat="1" applyFont="1" applyBorder="1" applyAlignment="1">
      <alignment horizontal="center"/>
    </xf>
    <xf numFmtId="194" fontId="78" fillId="0" borderId="47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1" fontId="73" fillId="25" borderId="42" xfId="0" applyNumberFormat="1" applyFont="1" applyFill="1" applyBorder="1" applyAlignment="1">
      <alignment horizontal="center"/>
    </xf>
    <xf numFmtId="1" fontId="78" fillId="25" borderId="61" xfId="0" applyNumberFormat="1" applyFont="1" applyFill="1" applyBorder="1" applyAlignment="1">
      <alignment horizontal="center"/>
    </xf>
    <xf numFmtId="1" fontId="73" fillId="0" borderId="62" xfId="0" applyNumberFormat="1" applyFont="1" applyBorder="1" applyAlignment="1">
      <alignment horizontal="center" vertical="center" wrapText="1"/>
    </xf>
    <xf numFmtId="0" fontId="78" fillId="0" borderId="63" xfId="0" applyFont="1" applyBorder="1" applyAlignment="1">
      <alignment horizontal="center" vertical="center" wrapText="1"/>
    </xf>
    <xf numFmtId="1" fontId="78" fillId="0" borderId="50" xfId="0" applyNumberFormat="1" applyFont="1" applyBorder="1" applyAlignment="1">
      <alignment horizontal="center" vertical="center" wrapText="1"/>
    </xf>
    <xf numFmtId="194" fontId="25" fillId="0" borderId="50" xfId="0" applyNumberFormat="1" applyFont="1" applyBorder="1" applyAlignment="1">
      <alignment horizontal="center" vertical="center" wrapText="1"/>
    </xf>
    <xf numFmtId="193" fontId="73" fillId="25" borderId="50" xfId="0" applyNumberFormat="1" applyFont="1" applyFill="1" applyBorder="1" applyAlignment="1">
      <alignment horizontal="center"/>
    </xf>
    <xf numFmtId="1" fontId="73" fillId="27" borderId="50" xfId="0" applyNumberFormat="1" applyFont="1" applyFill="1" applyBorder="1" applyAlignment="1">
      <alignment horizontal="center"/>
    </xf>
    <xf numFmtId="1" fontId="78" fillId="25" borderId="50" xfId="0" applyNumberFormat="1" applyFont="1" applyFill="1" applyBorder="1" applyAlignment="1">
      <alignment horizontal="center"/>
    </xf>
    <xf numFmtId="1" fontId="78" fillId="0" borderId="50" xfId="0" applyNumberFormat="1" applyFont="1" applyBorder="1" applyAlignment="1">
      <alignment horizontal="center"/>
    </xf>
    <xf numFmtId="193" fontId="73" fillId="0" borderId="50" xfId="0" applyNumberFormat="1" applyFont="1" applyBorder="1" applyAlignment="1">
      <alignment horizontal="center"/>
    </xf>
    <xf numFmtId="1" fontId="78" fillId="28" borderId="50" xfId="0" applyNumberFormat="1" applyFont="1" applyFill="1" applyBorder="1" applyAlignment="1">
      <alignment horizontal="center"/>
    </xf>
    <xf numFmtId="2" fontId="73" fillId="0" borderId="50" xfId="0" applyNumberFormat="1" applyFont="1" applyBorder="1" applyAlignment="1">
      <alignment horizontal="center"/>
    </xf>
    <xf numFmtId="1" fontId="73" fillId="28" borderId="50" xfId="0" applyNumberFormat="1" applyFont="1" applyFill="1" applyBorder="1" applyAlignment="1">
      <alignment horizontal="center"/>
    </xf>
    <xf numFmtId="1" fontId="78" fillId="0" borderId="50" xfId="0" applyNumberFormat="1" applyFont="1" applyBorder="1" applyAlignment="1">
      <alignment horizontal="center"/>
    </xf>
    <xf numFmtId="2" fontId="78" fillId="0" borderId="50" xfId="0" applyNumberFormat="1" applyFont="1" applyBorder="1" applyAlignment="1">
      <alignment horizontal="center"/>
    </xf>
    <xf numFmtId="194" fontId="78" fillId="0" borderId="50" xfId="0" applyNumberFormat="1" applyFont="1" applyBorder="1" applyAlignment="1">
      <alignment horizontal="center"/>
    </xf>
    <xf numFmtId="0" fontId="0" fillId="0" borderId="64" xfId="0" applyBorder="1" applyAlignment="1">
      <alignment horizontal="center"/>
    </xf>
    <xf numFmtId="1" fontId="73" fillId="25" borderId="62" xfId="0" applyNumberFormat="1" applyFont="1" applyFill="1" applyBorder="1" applyAlignment="1">
      <alignment horizontal="center"/>
    </xf>
    <xf numFmtId="1" fontId="78" fillId="25" borderId="65" xfId="0" applyNumberFormat="1" applyFont="1" applyFill="1" applyBorder="1" applyAlignment="1">
      <alignment horizontal="center"/>
    </xf>
    <xf numFmtId="0" fontId="111" fillId="0" borderId="0" xfId="0" applyFont="1" applyAlignment="1">
      <alignment horizontal="center" vertical="center"/>
    </xf>
    <xf numFmtId="0" fontId="112" fillId="0" borderId="0" xfId="0" applyFont="1" applyAlignment="1">
      <alignment horizontal="center"/>
    </xf>
    <xf numFmtId="0" fontId="111" fillId="0" borderId="0" xfId="0" applyFont="1" applyAlignment="1">
      <alignment horizontal="center" vertical="center" wrapText="1"/>
    </xf>
    <xf numFmtId="0" fontId="112" fillId="0" borderId="0" xfId="0" applyFont="1" applyAlignment="1">
      <alignment/>
    </xf>
    <xf numFmtId="0" fontId="112" fillId="0" borderId="0" xfId="0" applyFont="1" applyAlignment="1">
      <alignment horizontal="left"/>
    </xf>
    <xf numFmtId="0" fontId="111" fillId="0" borderId="0" xfId="0" applyFont="1" applyAlignment="1">
      <alignment/>
    </xf>
    <xf numFmtId="0" fontId="111" fillId="0" borderId="0" xfId="0" applyFont="1" applyAlignment="1">
      <alignment vertical="top" wrapText="1"/>
    </xf>
    <xf numFmtId="186" fontId="111" fillId="0" borderId="0" xfId="0" applyNumberFormat="1" applyFont="1" applyAlignment="1">
      <alignment horizontal="center" vertical="center"/>
    </xf>
    <xf numFmtId="0" fontId="113" fillId="31" borderId="66" xfId="0" applyFont="1" applyFill="1" applyBorder="1" applyAlignment="1">
      <alignment horizontal="center" vertical="center" wrapText="1"/>
    </xf>
    <xf numFmtId="3" fontId="113" fillId="31" borderId="66" xfId="0" applyNumberFormat="1" applyFont="1" applyFill="1" applyBorder="1" applyAlignment="1">
      <alignment horizontal="center" vertical="center" wrapText="1"/>
    </xf>
    <xf numFmtId="0" fontId="111" fillId="0" borderId="66" xfId="0" applyFont="1" applyBorder="1" applyAlignment="1">
      <alignment horizontal="center" vertical="center"/>
    </xf>
    <xf numFmtId="0" fontId="114" fillId="0" borderId="66" xfId="0" applyFont="1" applyFill="1" applyBorder="1" applyAlignment="1">
      <alignment horizontal="left" vertical="top" wrapText="1"/>
    </xf>
    <xf numFmtId="0" fontId="111" fillId="0" borderId="66" xfId="0" applyFont="1" applyBorder="1" applyAlignment="1">
      <alignment horizontal="center" vertical="center" wrapText="1"/>
    </xf>
    <xf numFmtId="186" fontId="111" fillId="0" borderId="66" xfId="0" applyNumberFormat="1" applyFont="1" applyBorder="1" applyAlignment="1">
      <alignment horizontal="center" vertical="center"/>
    </xf>
    <xf numFmtId="0" fontId="111" fillId="0" borderId="66" xfId="0" applyFont="1" applyBorder="1" applyAlignment="1">
      <alignment/>
    </xf>
    <xf numFmtId="0" fontId="111" fillId="0" borderId="66" xfId="0" applyFont="1" applyBorder="1" applyAlignment="1">
      <alignment vertical="top" wrapText="1"/>
    </xf>
    <xf numFmtId="0" fontId="113" fillId="27" borderId="66" xfId="0" applyFont="1" applyFill="1" applyBorder="1" applyAlignment="1">
      <alignment horizontal="center" vertical="center"/>
    </xf>
    <xf numFmtId="0" fontId="113" fillId="27" borderId="66" xfId="0" applyFont="1" applyFill="1" applyBorder="1" applyAlignment="1">
      <alignment vertical="top" wrapText="1"/>
    </xf>
    <xf numFmtId="0" fontId="113" fillId="27" borderId="66" xfId="0" applyFont="1" applyFill="1" applyBorder="1" applyAlignment="1">
      <alignment horizontal="center" vertical="center" wrapText="1"/>
    </xf>
    <xf numFmtId="186" fontId="113" fillId="27" borderId="66" xfId="0" applyNumberFormat="1" applyFont="1" applyFill="1" applyBorder="1" applyAlignment="1">
      <alignment horizontal="center" vertical="center"/>
    </xf>
    <xf numFmtId="0" fontId="113" fillId="27" borderId="66" xfId="0" applyFont="1" applyFill="1" applyBorder="1" applyAlignment="1">
      <alignment/>
    </xf>
    <xf numFmtId="186" fontId="111" fillId="0" borderId="66" xfId="0" applyNumberFormat="1" applyFont="1" applyFill="1" applyBorder="1" applyAlignment="1">
      <alignment horizontal="center" vertical="center"/>
    </xf>
    <xf numFmtId="0" fontId="114" fillId="0" borderId="66" xfId="0" applyFont="1" applyBorder="1" applyAlignment="1">
      <alignment vertical="top" wrapText="1"/>
    </xf>
    <xf numFmtId="186" fontId="114" fillId="0" borderId="66" xfId="0" applyNumberFormat="1" applyFont="1" applyFill="1" applyBorder="1" applyAlignment="1">
      <alignment horizontal="center" vertical="center"/>
    </xf>
    <xf numFmtId="0" fontId="114" fillId="0" borderId="66" xfId="0" applyFont="1" applyBorder="1" applyAlignment="1">
      <alignment horizontal="left" vertical="top" wrapText="1"/>
    </xf>
    <xf numFmtId="0" fontId="111" fillId="0" borderId="66" xfId="0" applyFont="1" applyFill="1" applyBorder="1" applyAlignment="1">
      <alignment horizontal="center" vertical="center" wrapText="1"/>
    </xf>
    <xf numFmtId="0" fontId="111" fillId="0" borderId="66" xfId="0" applyFont="1" applyFill="1" applyBorder="1" applyAlignment="1">
      <alignment horizontal="left" vertical="top" wrapText="1"/>
    </xf>
    <xf numFmtId="0" fontId="114" fillId="0" borderId="66" xfId="0" applyFont="1" applyFill="1" applyBorder="1" applyAlignment="1">
      <alignment vertical="top" wrapText="1"/>
    </xf>
    <xf numFmtId="0" fontId="113" fillId="0" borderId="0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vertical="top" wrapText="1"/>
    </xf>
    <xf numFmtId="0" fontId="113" fillId="0" borderId="0" xfId="0" applyFont="1" applyFill="1" applyBorder="1" applyAlignment="1">
      <alignment horizontal="center" vertical="center" wrapText="1"/>
    </xf>
    <xf numFmtId="186" fontId="113" fillId="0" borderId="0" xfId="0" applyNumberFormat="1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/>
    </xf>
    <xf numFmtId="0" fontId="115" fillId="0" borderId="0" xfId="0" applyFont="1" applyFill="1" applyBorder="1" applyAlignment="1">
      <alignment vertical="top" wrapText="1"/>
    </xf>
    <xf numFmtId="3" fontId="115" fillId="0" borderId="0" xfId="0" applyNumberFormat="1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left" vertical="center" wrapText="1"/>
    </xf>
    <xf numFmtId="0" fontId="115" fillId="0" borderId="0" xfId="0" applyFont="1" applyAlignment="1">
      <alignment vertical="top" wrapText="1"/>
    </xf>
    <xf numFmtId="0" fontId="116" fillId="0" borderId="0" xfId="0" applyFont="1" applyAlignment="1">
      <alignment horizontal="center" vertical="center" wrapText="1"/>
    </xf>
    <xf numFmtId="4" fontId="111" fillId="0" borderId="0" xfId="0" applyNumberFormat="1" applyFont="1" applyAlignment="1">
      <alignment vertical="top"/>
    </xf>
    <xf numFmtId="4" fontId="113" fillId="0" borderId="0" xfId="0" applyNumberFormat="1" applyFont="1" applyAlignment="1">
      <alignment vertical="top"/>
    </xf>
    <xf numFmtId="0" fontId="113" fillId="0" borderId="0" xfId="0" applyFont="1" applyAlignment="1">
      <alignment/>
    </xf>
    <xf numFmtId="0" fontId="113" fillId="0" borderId="0" xfId="0" applyFont="1" applyAlignment="1">
      <alignment horizontal="left" wrapText="1"/>
    </xf>
    <xf numFmtId="4" fontId="111" fillId="0" borderId="0" xfId="0" applyNumberFormat="1" applyFont="1" applyAlignment="1">
      <alignment/>
    </xf>
    <xf numFmtId="0" fontId="111" fillId="0" borderId="0" xfId="0" applyFont="1" applyAlignment="1">
      <alignment horizontal="left" wrapText="1"/>
    </xf>
    <xf numFmtId="0" fontId="111" fillId="0" borderId="0" xfId="0" applyFont="1" applyAlignment="1">
      <alignment wrapText="1"/>
    </xf>
    <xf numFmtId="0" fontId="74" fillId="0" borderId="18" xfId="0" applyFont="1" applyBorder="1" applyAlignment="1">
      <alignment horizontal="center" wrapText="1"/>
    </xf>
    <xf numFmtId="0" fontId="74" fillId="0" borderId="10" xfId="0" applyFont="1" applyBorder="1" applyAlignment="1">
      <alignment/>
    </xf>
    <xf numFmtId="0" fontId="74" fillId="0" borderId="22" xfId="0" applyFont="1" applyBorder="1" applyAlignment="1">
      <alignment horizontal="center" vertical="center" wrapText="1"/>
    </xf>
    <xf numFmtId="0" fontId="74" fillId="0" borderId="20" xfId="0" applyFont="1" applyBorder="1" applyAlignment="1">
      <alignment/>
    </xf>
    <xf numFmtId="0" fontId="76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74" fillId="0" borderId="32" xfId="0" applyFont="1" applyBorder="1" applyAlignment="1">
      <alignment horizontal="center" wrapText="1"/>
    </xf>
    <xf numFmtId="0" fontId="74" fillId="0" borderId="24" xfId="0" applyFont="1" applyBorder="1" applyAlignment="1">
      <alignment/>
    </xf>
    <xf numFmtId="1" fontId="0" fillId="25" borderId="10" xfId="0" applyNumberFormat="1" applyFill="1" applyBorder="1" applyAlignment="1">
      <alignment horizontal="center"/>
    </xf>
    <xf numFmtId="1" fontId="0" fillId="25" borderId="19" xfId="0" applyNumberFormat="1" applyFill="1" applyBorder="1" applyAlignment="1">
      <alignment horizont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0" fillId="25" borderId="41" xfId="0" applyFill="1" applyBorder="1" applyAlignment="1">
      <alignment horizontal="center" vertical="center" wrapText="1"/>
    </xf>
    <xf numFmtId="0" fontId="0" fillId="25" borderId="2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0" fillId="25" borderId="42" xfId="0" applyFill="1" applyBorder="1" applyAlignment="1">
      <alignment horizontal="center" vertical="center" wrapText="1"/>
    </xf>
    <xf numFmtId="0" fontId="0" fillId="25" borderId="43" xfId="0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5" borderId="18" xfId="0" applyFill="1" applyBorder="1" applyAlignment="1">
      <alignment horizontal="left" vertical="top" wrapText="1"/>
    </xf>
    <xf numFmtId="0" fontId="0" fillId="25" borderId="10" xfId="0" applyFill="1" applyBorder="1" applyAlignment="1">
      <alignment horizontal="center"/>
    </xf>
    <xf numFmtId="0" fontId="0" fillId="25" borderId="18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0" fillId="25" borderId="39" xfId="0" applyFill="1" applyBorder="1" applyAlignment="1">
      <alignment horizontal="center" vertical="center" wrapText="1"/>
    </xf>
    <xf numFmtId="0" fontId="0" fillId="25" borderId="45" xfId="0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31" fillId="0" borderId="0" xfId="0" applyFont="1" applyAlignment="1">
      <alignment horizontal="left" vertical="center" wrapText="1"/>
    </xf>
    <xf numFmtId="0" fontId="73" fillId="0" borderId="4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7" fillId="0" borderId="18" xfId="0" applyFont="1" applyBorder="1" applyAlignment="1">
      <alignment horizontal="center" vertical="center" wrapText="1"/>
    </xf>
    <xf numFmtId="0" fontId="73" fillId="0" borderId="39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83" fillId="0" borderId="0" xfId="0" applyFont="1" applyAlignment="1">
      <alignment horizontal="center" vertical="center" wrapText="1"/>
    </xf>
    <xf numFmtId="0" fontId="83" fillId="0" borderId="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 vertical="center" wrapText="1"/>
    </xf>
    <xf numFmtId="0" fontId="1" fillId="25" borderId="45" xfId="0" applyFont="1" applyFill="1" applyBorder="1" applyAlignment="1">
      <alignment horizontal="center" vertical="center" wrapText="1"/>
    </xf>
    <xf numFmtId="0" fontId="1" fillId="25" borderId="59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24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1" fillId="25" borderId="59" xfId="0" applyFont="1" applyFill="1" applyBorder="1" applyAlignment="1">
      <alignment horizontal="left"/>
    </xf>
    <xf numFmtId="0" fontId="1" fillId="25" borderId="70" xfId="0" applyFont="1" applyFill="1" applyBorder="1" applyAlignment="1">
      <alignment horizontal="left"/>
    </xf>
    <xf numFmtId="0" fontId="8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5" fillId="0" borderId="3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0" fillId="25" borderId="32" xfId="0" applyFont="1" applyFill="1" applyBorder="1" applyAlignment="1">
      <alignment horizontal="center" vertical="justify" wrapText="1"/>
    </xf>
    <xf numFmtId="0" fontId="0" fillId="25" borderId="22" xfId="0" applyFont="1" applyFill="1" applyBorder="1" applyAlignment="1">
      <alignment horizontal="center" vertical="justify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center" vertical="center" wrapText="1"/>
    </xf>
    <xf numFmtId="0" fontId="0" fillId="25" borderId="59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29" fillId="24" borderId="27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187" fontId="29" fillId="24" borderId="0" xfId="0" applyNumberFormat="1" applyFont="1" applyFill="1" applyBorder="1" applyAlignment="1">
      <alignment horizontal="center" vertical="center" wrapText="1"/>
    </xf>
    <xf numFmtId="0" fontId="29" fillId="24" borderId="28" xfId="0" applyFont="1" applyFill="1" applyBorder="1" applyAlignment="1">
      <alignment horizontal="center" vertical="center" wrapText="1"/>
    </xf>
    <xf numFmtId="0" fontId="29" fillId="24" borderId="59" xfId="0" applyFont="1" applyFill="1" applyBorder="1" applyAlignment="1">
      <alignment horizontal="center" vertical="center" wrapText="1"/>
    </xf>
    <xf numFmtId="0" fontId="29" fillId="24" borderId="75" xfId="0" applyFont="1" applyFill="1" applyBorder="1" applyAlignment="1">
      <alignment horizontal="center" vertical="center" wrapText="1"/>
    </xf>
    <xf numFmtId="0" fontId="29" fillId="24" borderId="76" xfId="0" applyFont="1" applyFill="1" applyBorder="1" applyAlignment="1">
      <alignment horizontal="center" vertical="center" wrapText="1"/>
    </xf>
    <xf numFmtId="0" fontId="29" fillId="24" borderId="69" xfId="0" applyFont="1" applyFill="1" applyBorder="1" applyAlignment="1">
      <alignment horizontal="center" vertical="center" wrapText="1"/>
    </xf>
    <xf numFmtId="0" fontId="29" fillId="24" borderId="70" xfId="0" applyFont="1" applyFill="1" applyBorder="1" applyAlignment="1">
      <alignment horizontal="center" vertical="center" wrapText="1"/>
    </xf>
    <xf numFmtId="0" fontId="38" fillId="0" borderId="28" xfId="188" applyNumberFormat="1" applyFont="1" applyBorder="1" applyAlignment="1">
      <alignment horizontal="center" vertical="center" wrapText="1"/>
      <protection/>
    </xf>
    <xf numFmtId="0" fontId="38" fillId="0" borderId="45" xfId="188" applyNumberFormat="1" applyFont="1" applyBorder="1" applyAlignment="1">
      <alignment horizontal="center" vertical="center" wrapText="1"/>
      <protection/>
    </xf>
    <xf numFmtId="0" fontId="38" fillId="0" borderId="14" xfId="188" applyNumberFormat="1" applyFont="1" applyBorder="1" applyAlignment="1">
      <alignment horizontal="center" vertical="center" wrapText="1"/>
      <protection/>
    </xf>
    <xf numFmtId="0" fontId="44" fillId="0" borderId="0" xfId="188" applyNumberFormat="1" applyFont="1" applyAlignment="1">
      <alignment horizontal="center" vertical="center" wrapText="1"/>
      <protection/>
    </xf>
    <xf numFmtId="0" fontId="37" fillId="0" borderId="0" xfId="188" applyFont="1" applyAlignment="1">
      <alignment horizontal="right"/>
      <protection/>
    </xf>
    <xf numFmtId="0" fontId="37" fillId="0" borderId="0" xfId="188" applyAlignment="1">
      <alignment horizontal="right"/>
      <protection/>
    </xf>
    <xf numFmtId="0" fontId="51" fillId="0" borderId="27" xfId="188" applyNumberFormat="1" applyFont="1" applyBorder="1" applyAlignment="1">
      <alignment horizontal="center" vertical="center"/>
      <protection/>
    </xf>
    <xf numFmtId="0" fontId="51" fillId="0" borderId="39" xfId="188" applyNumberFormat="1" applyFont="1" applyBorder="1" applyAlignment="1">
      <alignment horizontal="center" vertical="center"/>
      <protection/>
    </xf>
    <xf numFmtId="0" fontId="51" fillId="0" borderId="16" xfId="188" applyNumberFormat="1" applyFont="1" applyBorder="1" applyAlignment="1">
      <alignment horizontal="center" vertical="center"/>
      <protection/>
    </xf>
    <xf numFmtId="0" fontId="38" fillId="0" borderId="75" xfId="188" applyNumberFormat="1" applyFont="1" applyBorder="1" applyAlignment="1">
      <alignment horizontal="center" vertical="center" wrapText="1"/>
      <protection/>
    </xf>
    <xf numFmtId="0" fontId="38" fillId="0" borderId="56" xfId="188" applyNumberFormat="1" applyFont="1" applyBorder="1" applyAlignment="1">
      <alignment horizontal="center" vertical="center" wrapText="1"/>
      <protection/>
    </xf>
    <xf numFmtId="0" fontId="38" fillId="0" borderId="12" xfId="188" applyNumberFormat="1" applyFont="1" applyBorder="1" applyAlignment="1">
      <alignment horizontal="center" vertical="center" wrapText="1"/>
      <protection/>
    </xf>
    <xf numFmtId="0" fontId="38" fillId="0" borderId="29" xfId="188" applyNumberFormat="1" applyFont="1" applyBorder="1" applyAlignment="1">
      <alignment horizontal="center" vertical="center" wrapText="1"/>
      <protection/>
    </xf>
    <xf numFmtId="0" fontId="38" fillId="0" borderId="42" xfId="188" applyNumberFormat="1" applyFont="1" applyBorder="1" applyAlignment="1">
      <alignment horizontal="center" vertical="center" wrapText="1"/>
      <protection/>
    </xf>
    <xf numFmtId="0" fontId="38" fillId="0" borderId="43" xfId="188" applyNumberFormat="1" applyFont="1" applyBorder="1" applyAlignment="1">
      <alignment horizontal="center" vertical="center" wrapText="1"/>
      <protection/>
    </xf>
    <xf numFmtId="0" fontId="38" fillId="0" borderId="31" xfId="188" applyNumberFormat="1" applyFont="1" applyBorder="1" applyAlignment="1">
      <alignment horizontal="center" vertical="center" wrapText="1"/>
      <protection/>
    </xf>
    <xf numFmtId="0" fontId="38" fillId="0" borderId="11" xfId="188" applyNumberFormat="1" applyFont="1" applyBorder="1" applyAlignment="1">
      <alignment horizontal="center" vertical="center" wrapText="1"/>
      <protection/>
    </xf>
    <xf numFmtId="0" fontId="38" fillId="0" borderId="60" xfId="188" applyNumberFormat="1" applyFont="1" applyBorder="1" applyAlignment="1">
      <alignment horizontal="center" vertical="center" wrapText="1"/>
      <protection/>
    </xf>
    <xf numFmtId="0" fontId="38" fillId="0" borderId="38" xfId="188" applyNumberFormat="1" applyFont="1" applyBorder="1" applyAlignment="1">
      <alignment horizontal="center" vertical="center" wrapText="1"/>
      <protection/>
    </xf>
    <xf numFmtId="0" fontId="51" fillId="0" borderId="28" xfId="188" applyNumberFormat="1" applyFont="1" applyBorder="1" applyAlignment="1">
      <alignment horizontal="center" vertical="center"/>
      <protection/>
    </xf>
    <xf numFmtId="0" fontId="51" fillId="0" borderId="45" xfId="188" applyNumberFormat="1" applyFont="1" applyBorder="1" applyAlignment="1">
      <alignment horizontal="center" vertical="center"/>
      <protection/>
    </xf>
    <xf numFmtId="0" fontId="51" fillId="0" borderId="14" xfId="188" applyNumberFormat="1" applyFont="1" applyBorder="1" applyAlignment="1">
      <alignment horizontal="center" vertical="center"/>
      <protection/>
    </xf>
    <xf numFmtId="0" fontId="51" fillId="0" borderId="31" xfId="188" applyNumberFormat="1" applyFont="1" applyBorder="1" applyAlignment="1">
      <alignment horizontal="center" vertical="center"/>
      <protection/>
    </xf>
    <xf numFmtId="0" fontId="51" fillId="0" borderId="0" xfId="188" applyNumberFormat="1" applyFont="1" applyAlignment="1">
      <alignment horizontal="center" vertical="center" wrapText="1"/>
      <protection/>
    </xf>
    <xf numFmtId="0" fontId="51" fillId="0" borderId="31" xfId="188" applyNumberFormat="1" applyFont="1" applyBorder="1" applyAlignment="1">
      <alignment horizontal="center" vertical="center" wrapText="1"/>
      <protection/>
    </xf>
    <xf numFmtId="0" fontId="51" fillId="0" borderId="45" xfId="188" applyNumberFormat="1" applyFont="1" applyBorder="1" applyAlignment="1">
      <alignment horizontal="center" vertical="center" wrapText="1"/>
      <protection/>
    </xf>
    <xf numFmtId="0" fontId="51" fillId="0" borderId="14" xfId="188" applyNumberFormat="1" applyFont="1" applyBorder="1" applyAlignment="1">
      <alignment horizontal="center" vertical="center" wrapText="1"/>
      <protection/>
    </xf>
    <xf numFmtId="0" fontId="38" fillId="0" borderId="10" xfId="188" applyNumberFormat="1" applyFont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4" fillId="0" borderId="0" xfId="0" applyFont="1" applyAlignment="1">
      <alignment horizontal="center" wrapText="1"/>
    </xf>
    <xf numFmtId="0" fontId="55" fillId="25" borderId="0" xfId="0" applyFont="1" applyFill="1" applyBorder="1" applyAlignment="1">
      <alignment horizontal="left" wrapText="1"/>
    </xf>
    <xf numFmtId="0" fontId="85" fillId="0" borderId="0" xfId="0" applyFont="1" applyAlignment="1">
      <alignment horizontal="center"/>
    </xf>
    <xf numFmtId="0" fontId="85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4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5" fillId="0" borderId="0" xfId="188" applyNumberFormat="1" applyFont="1" applyAlignment="1">
      <alignment horizontal="center" vertical="center"/>
      <protection/>
    </xf>
    <xf numFmtId="0" fontId="51" fillId="0" borderId="41" xfId="188" applyNumberFormat="1" applyFont="1" applyBorder="1" applyAlignment="1">
      <alignment horizontal="center" vertical="center"/>
      <protection/>
    </xf>
    <xf numFmtId="0" fontId="51" fillId="0" borderId="24" xfId="188" applyNumberFormat="1" applyFont="1" applyBorder="1" applyAlignment="1">
      <alignment horizontal="center" vertical="center" wrapText="1"/>
      <protection/>
    </xf>
    <xf numFmtId="0" fontId="51" fillId="0" borderId="20" xfId="188" applyNumberFormat="1" applyFont="1" applyBorder="1" applyAlignment="1">
      <alignment horizontal="center" vertical="center" wrapText="1"/>
      <protection/>
    </xf>
    <xf numFmtId="0" fontId="51" fillId="0" borderId="30" xfId="188" applyNumberFormat="1" applyFont="1" applyBorder="1" applyAlignment="1">
      <alignment horizontal="center" vertical="center" wrapText="1"/>
      <protection/>
    </xf>
    <xf numFmtId="0" fontId="31" fillId="0" borderId="56" xfId="188" applyNumberFormat="1" applyFont="1" applyFill="1" applyBorder="1" applyAlignment="1">
      <alignment horizontal="center" vertical="center" wrapText="1"/>
      <protection/>
    </xf>
    <xf numFmtId="0" fontId="31" fillId="0" borderId="0" xfId="188" applyNumberFormat="1" applyFont="1" applyFill="1" applyBorder="1" applyAlignment="1">
      <alignment horizontal="center" vertical="center" wrapText="1"/>
      <protection/>
    </xf>
    <xf numFmtId="0" fontId="31" fillId="0" borderId="11" xfId="188" applyNumberFormat="1" applyFont="1" applyFill="1" applyBorder="1" applyAlignment="1">
      <alignment horizontal="center" vertical="center" wrapText="1"/>
      <protection/>
    </xf>
    <xf numFmtId="0" fontId="31" fillId="0" borderId="60" xfId="188" applyNumberFormat="1" applyFont="1" applyFill="1" applyBorder="1" applyAlignment="1">
      <alignment horizontal="center" vertical="center" wrapText="1"/>
      <protection/>
    </xf>
    <xf numFmtId="0" fontId="31" fillId="0" borderId="73" xfId="188" applyNumberFormat="1" applyFont="1" applyFill="1" applyBorder="1" applyAlignment="1">
      <alignment horizontal="center" vertical="center" wrapText="1"/>
      <protection/>
    </xf>
    <xf numFmtId="0" fontId="31" fillId="0" borderId="47" xfId="188" applyNumberFormat="1" applyFont="1" applyFill="1" applyBorder="1" applyAlignment="1">
      <alignment horizontal="center" vertical="center" wrapText="1"/>
      <protection/>
    </xf>
    <xf numFmtId="0" fontId="31" fillId="0" borderId="10" xfId="188" applyNumberFormat="1" applyFont="1" applyFill="1" applyBorder="1" applyAlignment="1">
      <alignment horizontal="center" vertical="center" wrapText="1"/>
      <protection/>
    </xf>
    <xf numFmtId="0" fontId="44" fillId="0" borderId="77" xfId="188" applyNumberFormat="1" applyFont="1" applyBorder="1" applyAlignment="1">
      <alignment horizontal="center" vertical="center" wrapText="1"/>
      <protection/>
    </xf>
    <xf numFmtId="0" fontId="38" fillId="0" borderId="24" xfId="188" applyNumberFormat="1" applyFont="1" applyBorder="1" applyAlignment="1">
      <alignment horizontal="center" vertical="center" wrapText="1"/>
      <protection/>
    </xf>
    <xf numFmtId="0" fontId="43" fillId="0" borderId="27" xfId="188" applyNumberFormat="1" applyFont="1" applyBorder="1" applyAlignment="1">
      <alignment horizontal="center" vertical="center"/>
      <protection/>
    </xf>
    <xf numFmtId="0" fontId="43" fillId="0" borderId="41" xfId="188" applyNumberFormat="1" applyFont="1" applyBorder="1" applyAlignment="1">
      <alignment horizontal="center" vertical="center"/>
      <protection/>
    </xf>
    <xf numFmtId="0" fontId="43" fillId="0" borderId="24" xfId="188" applyNumberFormat="1" applyFont="1" applyBorder="1" applyAlignment="1">
      <alignment horizontal="center" vertical="center" wrapText="1"/>
      <protection/>
    </xf>
    <xf numFmtId="0" fontId="43" fillId="0" borderId="20" xfId="188" applyNumberFormat="1" applyFont="1" applyBorder="1" applyAlignment="1">
      <alignment horizontal="center" vertical="center" wrapText="1"/>
      <protection/>
    </xf>
    <xf numFmtId="0" fontId="48" fillId="0" borderId="0" xfId="158" applyFont="1" applyAlignment="1">
      <alignment horizontal="center" vertical="center" wrapText="1"/>
      <protection/>
    </xf>
    <xf numFmtId="0" fontId="49" fillId="0" borderId="10" xfId="158" applyFont="1" applyBorder="1" applyAlignment="1">
      <alignment horizontal="center" vertical="center" wrapText="1"/>
      <protection/>
    </xf>
    <xf numFmtId="0" fontId="50" fillId="0" borderId="10" xfId="158" applyFont="1" applyBorder="1" applyAlignment="1">
      <alignment vertical="center" wrapText="1"/>
      <protection/>
    </xf>
    <xf numFmtId="49" fontId="49" fillId="0" borderId="10" xfId="158" applyNumberFormat="1" applyFont="1" applyBorder="1" applyAlignment="1">
      <alignment horizontal="center" vertical="center" wrapText="1"/>
      <protection/>
    </xf>
    <xf numFmtId="3" fontId="49" fillId="0" borderId="10" xfId="158" applyNumberFormat="1" applyFont="1" applyBorder="1" applyAlignment="1">
      <alignment horizontal="center" vertical="center" wrapText="1"/>
      <protection/>
    </xf>
    <xf numFmtId="0" fontId="50" fillId="0" borderId="10" xfId="158" applyFont="1" applyBorder="1" applyAlignment="1">
      <alignment horizontal="left" vertical="center" wrapText="1"/>
      <protection/>
    </xf>
    <xf numFmtId="0" fontId="48" fillId="0" borderId="0" xfId="158" applyFont="1" applyAlignment="1">
      <alignment horizontal="center" vertical="center"/>
      <protection/>
    </xf>
    <xf numFmtId="0" fontId="49" fillId="0" borderId="10" xfId="158" applyFont="1" applyBorder="1" applyAlignment="1">
      <alignment horizontal="center" vertical="center"/>
      <protection/>
    </xf>
    <xf numFmtId="0" fontId="50" fillId="0" borderId="10" xfId="158" applyFont="1" applyBorder="1" applyAlignment="1">
      <alignment horizontal="left" vertical="center"/>
      <protection/>
    </xf>
    <xf numFmtId="190" fontId="50" fillId="0" borderId="10" xfId="210" applyNumberFormat="1" applyFont="1" applyBorder="1" applyAlignment="1">
      <alignment horizontal="center" vertical="center"/>
    </xf>
    <xf numFmtId="0" fontId="49" fillId="0" borderId="0" xfId="158" applyFont="1" applyAlignment="1">
      <alignment horizontal="left" vertical="center" wrapText="1"/>
      <protection/>
    </xf>
    <xf numFmtId="0" fontId="49" fillId="0" borderId="0" xfId="158" applyFont="1" applyAlignment="1">
      <alignment horizontal="center" vertical="center"/>
      <protection/>
    </xf>
    <xf numFmtId="0" fontId="29" fillId="24" borderId="24" xfId="0" applyFont="1" applyFill="1" applyBorder="1" applyAlignment="1">
      <alignment horizontal="center" vertical="center" wrapText="1"/>
    </xf>
    <xf numFmtId="0" fontId="29" fillId="25" borderId="20" xfId="0" applyFont="1" applyFill="1" applyBorder="1" applyAlignment="1">
      <alignment horizontal="center" vertical="center" wrapText="1"/>
    </xf>
    <xf numFmtId="0" fontId="29" fillId="24" borderId="29" xfId="0" applyFont="1" applyFill="1" applyBorder="1" applyAlignment="1">
      <alignment horizontal="center" wrapText="1"/>
    </xf>
    <xf numFmtId="0" fontId="29" fillId="24" borderId="42" xfId="0" applyFont="1" applyFill="1" applyBorder="1" applyAlignment="1">
      <alignment horizontal="center" wrapText="1"/>
    </xf>
    <xf numFmtId="0" fontId="29" fillId="24" borderId="43" xfId="0" applyFont="1" applyFill="1" applyBorder="1" applyAlignment="1">
      <alignment horizontal="center" wrapText="1"/>
    </xf>
    <xf numFmtId="0" fontId="26" fillId="24" borderId="0" xfId="0" applyFont="1" applyFill="1" applyBorder="1" applyAlignment="1">
      <alignment horizontal="center" vertical="center" wrapText="1"/>
    </xf>
    <xf numFmtId="0" fontId="29" fillId="24" borderId="32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32" fillId="24" borderId="0" xfId="143" applyFont="1" applyFill="1" applyAlignment="1">
      <alignment horizontal="center" vertical="center" wrapText="1"/>
      <protection/>
    </xf>
    <xf numFmtId="0" fontId="33" fillId="24" borderId="32" xfId="137" applyFont="1" applyFill="1" applyBorder="1" applyAlignment="1">
      <alignment horizontal="center" vertical="center" wrapText="1"/>
      <protection/>
    </xf>
    <xf numFmtId="0" fontId="33" fillId="24" borderId="18" xfId="137" applyFont="1" applyFill="1" applyBorder="1" applyAlignment="1">
      <alignment horizontal="center" vertical="center" wrapText="1"/>
      <protection/>
    </xf>
    <xf numFmtId="0" fontId="29" fillId="24" borderId="24" xfId="137" applyFont="1" applyFill="1" applyBorder="1" applyAlignment="1">
      <alignment horizontal="center" vertical="center" wrapText="1"/>
      <protection/>
    </xf>
    <xf numFmtId="0" fontId="29" fillId="24" borderId="10" xfId="137" applyFont="1" applyFill="1" applyBorder="1" applyAlignment="1">
      <alignment horizontal="center" vertical="center" wrapText="1"/>
      <protection/>
    </xf>
    <xf numFmtId="0" fontId="88" fillId="24" borderId="24" xfId="143" applyFont="1" applyFill="1" applyBorder="1" applyAlignment="1">
      <alignment horizontal="center" vertical="center"/>
      <protection/>
    </xf>
    <xf numFmtId="0" fontId="88" fillId="24" borderId="30" xfId="143" applyFont="1" applyFill="1" applyBorder="1" applyAlignment="1">
      <alignment horizontal="center" vertical="center"/>
      <protection/>
    </xf>
    <xf numFmtId="0" fontId="29" fillId="24" borderId="28" xfId="137" applyFont="1" applyFill="1" applyBorder="1" applyAlignment="1">
      <alignment horizontal="center" vertical="center" wrapText="1"/>
      <protection/>
    </xf>
    <xf numFmtId="0" fontId="29" fillId="24" borderId="45" xfId="137" applyFont="1" applyFill="1" applyBorder="1" applyAlignment="1">
      <alignment horizontal="center" vertical="center" wrapText="1"/>
      <protection/>
    </xf>
    <xf numFmtId="0" fontId="40" fillId="24" borderId="0" xfId="143" applyFont="1" applyFill="1" applyAlignment="1">
      <alignment horizontal="center"/>
      <protection/>
    </xf>
    <xf numFmtId="0" fontId="15" fillId="24" borderId="0" xfId="143" applyFont="1" applyFill="1" applyAlignment="1">
      <alignment horizontal="center"/>
      <protection/>
    </xf>
    <xf numFmtId="0" fontId="33" fillId="25" borderId="32" xfId="137" applyFont="1" applyFill="1" applyBorder="1" applyAlignment="1">
      <alignment horizontal="center" vertical="center" wrapText="1"/>
      <protection/>
    </xf>
    <xf numFmtId="0" fontId="33" fillId="25" borderId="22" xfId="137" applyFont="1" applyFill="1" applyBorder="1" applyAlignment="1">
      <alignment horizontal="center" vertical="center" wrapText="1"/>
      <protection/>
    </xf>
    <xf numFmtId="0" fontId="29" fillId="25" borderId="24" xfId="137" applyFont="1" applyFill="1" applyBorder="1" applyAlignment="1">
      <alignment horizontal="center" vertical="center" wrapText="1"/>
      <protection/>
    </xf>
    <xf numFmtId="0" fontId="29" fillId="25" borderId="20" xfId="137" applyFont="1" applyFill="1" applyBorder="1" applyAlignment="1">
      <alignment horizontal="center" vertical="center" wrapText="1"/>
      <protection/>
    </xf>
    <xf numFmtId="0" fontId="36" fillId="25" borderId="24" xfId="143" applyFont="1" applyFill="1" applyBorder="1" applyAlignment="1">
      <alignment horizontal="center" vertical="center"/>
      <protection/>
    </xf>
    <xf numFmtId="0" fontId="36" fillId="25" borderId="24" xfId="143" applyFont="1" applyFill="1" applyBorder="1" applyAlignment="1">
      <alignment horizontal="center" vertical="center" wrapText="1"/>
      <protection/>
    </xf>
    <xf numFmtId="0" fontId="36" fillId="25" borderId="30" xfId="143" applyFont="1" applyFill="1" applyBorder="1" applyAlignment="1">
      <alignment horizontal="center" vertical="center"/>
      <protection/>
    </xf>
    <xf numFmtId="0" fontId="31" fillId="0" borderId="3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186" fontId="31" fillId="0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2" fillId="24" borderId="0" xfId="153" applyFont="1" applyFill="1" applyAlignment="1">
      <alignment horizontal="center" vertical="center" wrapText="1"/>
      <protection/>
    </xf>
    <xf numFmtId="0" fontId="36" fillId="24" borderId="13" xfId="153" applyFont="1" applyFill="1" applyBorder="1" applyAlignment="1">
      <alignment horizontal="center" vertical="center" wrapText="1"/>
      <protection/>
    </xf>
    <xf numFmtId="0" fontId="32" fillId="24" borderId="0" xfId="155" applyFont="1" applyFill="1" applyBorder="1" applyAlignment="1">
      <alignment horizontal="center" vertical="center" wrapText="1"/>
      <protection/>
    </xf>
    <xf numFmtId="0" fontId="31" fillId="0" borderId="24" xfId="186" applyFont="1" applyFill="1" applyBorder="1" applyAlignment="1">
      <alignment horizontal="center" vertical="center" wrapText="1"/>
      <protection/>
    </xf>
    <xf numFmtId="0" fontId="31" fillId="0" borderId="20" xfId="186" applyFont="1" applyFill="1" applyBorder="1" applyAlignment="1">
      <alignment horizontal="center" vertical="center" wrapText="1"/>
      <protection/>
    </xf>
    <xf numFmtId="0" fontId="40" fillId="24" borderId="0" xfId="155" applyFont="1" applyFill="1" applyBorder="1" applyAlignment="1">
      <alignment horizontal="center" vertical="center" wrapText="1"/>
      <protection/>
    </xf>
    <xf numFmtId="49" fontId="33" fillId="24" borderId="32" xfId="186" applyNumberFormat="1" applyFont="1" applyFill="1" applyBorder="1" applyAlignment="1">
      <alignment horizontal="center" vertical="center" wrapText="1"/>
      <protection/>
    </xf>
    <xf numFmtId="49" fontId="33" fillId="24" borderId="22" xfId="186" applyNumberFormat="1" applyFont="1" applyFill="1" applyBorder="1" applyAlignment="1">
      <alignment horizontal="center" vertical="center" wrapText="1"/>
      <protection/>
    </xf>
    <xf numFmtId="0" fontId="31" fillId="24" borderId="24" xfId="186" applyFont="1" applyFill="1" applyBorder="1" applyAlignment="1">
      <alignment horizontal="center" vertical="center" wrapText="1"/>
      <protection/>
    </xf>
    <xf numFmtId="0" fontId="31" fillId="24" borderId="20" xfId="186" applyFont="1" applyFill="1" applyBorder="1" applyAlignment="1">
      <alignment horizontal="center" vertical="center" wrapText="1"/>
      <protection/>
    </xf>
    <xf numFmtId="0" fontId="31" fillId="24" borderId="30" xfId="186" applyFont="1" applyFill="1" applyBorder="1" applyAlignment="1">
      <alignment horizontal="center" vertical="center" wrapText="1"/>
      <protection/>
    </xf>
    <xf numFmtId="0" fontId="56" fillId="0" borderId="24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26" fillId="24" borderId="0" xfId="186" applyFont="1" applyFill="1" applyAlignment="1">
      <alignment horizontal="center" vertical="top" wrapText="1"/>
      <protection/>
    </xf>
    <xf numFmtId="0" fontId="56" fillId="0" borderId="32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26" fillId="24" borderId="0" xfId="186" applyNumberFormat="1" applyFont="1" applyFill="1" applyBorder="1" applyAlignment="1">
      <alignment horizontal="center" wrapText="1"/>
      <protection/>
    </xf>
    <xf numFmtId="49" fontId="52" fillId="24" borderId="27" xfId="186" applyNumberFormat="1" applyFont="1" applyFill="1" applyBorder="1" applyAlignment="1">
      <alignment horizontal="center" vertical="center" wrapText="1"/>
      <protection/>
    </xf>
    <xf numFmtId="49" fontId="52" fillId="24" borderId="41" xfId="186" applyNumberFormat="1" applyFont="1" applyFill="1" applyBorder="1" applyAlignment="1">
      <alignment horizontal="center" vertical="center" wrapText="1"/>
      <protection/>
    </xf>
    <xf numFmtId="0" fontId="33" fillId="24" borderId="75" xfId="186" applyFont="1" applyFill="1" applyBorder="1" applyAlignment="1">
      <alignment horizontal="center" vertical="center" wrapText="1"/>
      <protection/>
    </xf>
    <xf numFmtId="0" fontId="33" fillId="24" borderId="76" xfId="186" applyFont="1" applyFill="1" applyBorder="1" applyAlignment="1">
      <alignment horizontal="center" vertical="center" wrapText="1"/>
      <protection/>
    </xf>
    <xf numFmtId="0" fontId="33" fillId="24" borderId="30" xfId="186" applyFont="1" applyFill="1" applyBorder="1" applyAlignment="1">
      <alignment horizontal="center" vertical="center" wrapText="1"/>
      <protection/>
    </xf>
    <xf numFmtId="0" fontId="33" fillId="24" borderId="21" xfId="186" applyFont="1" applyFill="1" applyBorder="1" applyAlignment="1">
      <alignment horizontal="center" vertical="center" wrapText="1"/>
      <protection/>
    </xf>
    <xf numFmtId="0" fontId="66" fillId="0" borderId="0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59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3" fillId="0" borderId="71" xfId="0" applyFont="1" applyFill="1" applyBorder="1" applyAlignment="1">
      <alignment horizontal="center" vertical="center" wrapText="1"/>
    </xf>
    <xf numFmtId="186" fontId="33" fillId="0" borderId="28" xfId="0" applyNumberFormat="1" applyFont="1" applyFill="1" applyBorder="1" applyAlignment="1">
      <alignment horizontal="center" vertical="center" wrapText="1"/>
    </xf>
    <xf numFmtId="186" fontId="33" fillId="0" borderId="45" xfId="0" applyNumberFormat="1" applyFont="1" applyFill="1" applyBorder="1" applyAlignment="1">
      <alignment horizontal="center" vertical="center" wrapText="1"/>
    </xf>
    <xf numFmtId="186" fontId="33" fillId="0" borderId="59" xfId="0" applyNumberFormat="1" applyFont="1" applyFill="1" applyBorder="1" applyAlignment="1">
      <alignment horizontal="center" vertical="center" wrapText="1"/>
    </xf>
    <xf numFmtId="186" fontId="33" fillId="0" borderId="29" xfId="0" applyNumberFormat="1" applyFont="1" applyFill="1" applyBorder="1" applyAlignment="1">
      <alignment horizontal="center" vertical="center" wrapText="1"/>
    </xf>
    <xf numFmtId="186" fontId="33" fillId="0" borderId="42" xfId="0" applyNumberFormat="1" applyFont="1" applyFill="1" applyBorder="1" applyAlignment="1">
      <alignment horizontal="center" vertical="center" wrapText="1"/>
    </xf>
    <xf numFmtId="186" fontId="33" fillId="0" borderId="71" xfId="0" applyNumberFormat="1" applyFont="1" applyFill="1" applyBorder="1" applyAlignment="1">
      <alignment horizontal="center" vertical="center" wrapText="1"/>
    </xf>
    <xf numFmtId="186" fontId="33" fillId="0" borderId="58" xfId="0" applyNumberFormat="1" applyFont="1" applyFill="1" applyBorder="1" applyAlignment="1">
      <alignment horizontal="center" vertical="center" wrapText="1"/>
    </xf>
    <xf numFmtId="186" fontId="33" fillId="0" borderId="61" xfId="0" applyNumberFormat="1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7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186" fontId="33" fillId="0" borderId="31" xfId="0" applyNumberFormat="1" applyFont="1" applyFill="1" applyBorder="1" applyAlignment="1">
      <alignment horizontal="center" vertical="center" wrapText="1"/>
    </xf>
    <xf numFmtId="0" fontId="33" fillId="24" borderId="72" xfId="186" applyFont="1" applyFill="1" applyBorder="1" applyAlignment="1">
      <alignment horizontal="center" vertical="center" wrapText="1"/>
      <protection/>
    </xf>
    <xf numFmtId="0" fontId="33" fillId="24" borderId="73" xfId="186" applyFont="1" applyFill="1" applyBorder="1" applyAlignment="1">
      <alignment horizontal="center" vertical="center" wrapText="1"/>
      <protection/>
    </xf>
    <xf numFmtId="49" fontId="33" fillId="24" borderId="40" xfId="186" applyNumberFormat="1" applyFont="1" applyFill="1" applyBorder="1" applyAlignment="1">
      <alignment horizontal="center" vertical="center" wrapText="1"/>
      <protection/>
    </xf>
    <xf numFmtId="0" fontId="33" fillId="24" borderId="28" xfId="186" applyFont="1" applyFill="1" applyBorder="1" applyAlignment="1">
      <alignment horizontal="center" vertical="center" wrapText="1"/>
      <protection/>
    </xf>
    <xf numFmtId="0" fontId="33" fillId="24" borderId="45" xfId="186" applyFont="1" applyFill="1" applyBorder="1" applyAlignment="1">
      <alignment horizontal="center" vertical="center" wrapText="1"/>
      <protection/>
    </xf>
    <xf numFmtId="0" fontId="33" fillId="24" borderId="69" xfId="186" applyFont="1" applyFill="1" applyBorder="1" applyAlignment="1">
      <alignment horizontal="center" vertical="center" wrapText="1"/>
      <protection/>
    </xf>
    <xf numFmtId="0" fontId="33" fillId="24" borderId="46" xfId="186" applyFont="1" applyFill="1" applyBorder="1" applyAlignment="1">
      <alignment horizontal="center" vertical="center" wrapText="1"/>
      <protection/>
    </xf>
    <xf numFmtId="0" fontId="33" fillId="24" borderId="18" xfId="189" applyFont="1" applyFill="1" applyBorder="1" applyAlignment="1">
      <alignment horizontal="center" vertical="center" wrapText="1"/>
      <protection/>
    </xf>
    <xf numFmtId="0" fontId="33" fillId="25" borderId="10" xfId="189" applyFont="1" applyFill="1" applyBorder="1" applyAlignment="1">
      <alignment horizontal="center" vertical="center" wrapText="1"/>
      <protection/>
    </xf>
    <xf numFmtId="0" fontId="33" fillId="24" borderId="29" xfId="186" applyFont="1" applyFill="1" applyBorder="1" applyAlignment="1">
      <alignment horizontal="center" vertical="center" wrapText="1"/>
      <protection/>
    </xf>
    <xf numFmtId="0" fontId="33" fillId="24" borderId="42" xfId="186" applyFont="1" applyFill="1" applyBorder="1" applyAlignment="1">
      <alignment horizontal="center" vertical="center" wrapText="1"/>
      <protection/>
    </xf>
    <xf numFmtId="0" fontId="33" fillId="24" borderId="71" xfId="186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left"/>
    </xf>
    <xf numFmtId="0" fontId="52" fillId="24" borderId="69" xfId="186" applyFont="1" applyFill="1" applyBorder="1" applyAlignment="1">
      <alignment horizontal="center" vertical="center" wrapText="1"/>
      <protection/>
    </xf>
    <xf numFmtId="0" fontId="52" fillId="24" borderId="17" xfId="186" applyFont="1" applyFill="1" applyBorder="1" applyAlignment="1">
      <alignment horizontal="center" vertical="center" wrapText="1"/>
      <protection/>
    </xf>
    <xf numFmtId="49" fontId="52" fillId="24" borderId="16" xfId="186" applyNumberFormat="1" applyFont="1" applyFill="1" applyBorder="1" applyAlignment="1">
      <alignment horizontal="center" vertical="center" wrapText="1"/>
      <protection/>
    </xf>
    <xf numFmtId="0" fontId="52" fillId="24" borderId="75" xfId="186" applyFont="1" applyFill="1" applyBorder="1" applyAlignment="1">
      <alignment horizontal="center" vertical="center" wrapText="1"/>
      <protection/>
    </xf>
    <xf numFmtId="0" fontId="52" fillId="24" borderId="12" xfId="186" applyFont="1" applyFill="1" applyBorder="1" applyAlignment="1">
      <alignment horizontal="center" vertical="center" wrapText="1"/>
      <protection/>
    </xf>
    <xf numFmtId="0" fontId="52" fillId="24" borderId="28" xfId="186" applyFont="1" applyFill="1" applyBorder="1" applyAlignment="1">
      <alignment horizontal="center" vertical="center" wrapText="1"/>
      <protection/>
    </xf>
    <xf numFmtId="0" fontId="52" fillId="24" borderId="14" xfId="186" applyFont="1" applyFill="1" applyBorder="1" applyAlignment="1">
      <alignment horizontal="center" vertical="center" wrapText="1"/>
      <protection/>
    </xf>
    <xf numFmtId="0" fontId="52" fillId="24" borderId="24" xfId="186" applyFont="1" applyFill="1" applyBorder="1" applyAlignment="1">
      <alignment horizontal="center" vertical="center" wrapText="1"/>
      <protection/>
    </xf>
    <xf numFmtId="0" fontId="112" fillId="0" borderId="0" xfId="0" applyFont="1" applyAlignment="1">
      <alignment horizontal="center"/>
    </xf>
    <xf numFmtId="0" fontId="117" fillId="0" borderId="0" xfId="0" applyFont="1" applyAlignment="1">
      <alignment horizontal="center" vertical="center"/>
    </xf>
    <xf numFmtId="0" fontId="113" fillId="31" borderId="66" xfId="0" applyFont="1" applyFill="1" applyBorder="1" applyAlignment="1">
      <alignment horizontal="center" vertical="center" wrapText="1"/>
    </xf>
    <xf numFmtId="186" fontId="113" fillId="31" borderId="66" xfId="0" applyNumberFormat="1" applyFont="1" applyFill="1" applyBorder="1" applyAlignment="1">
      <alignment horizontal="center" vertical="center" wrapText="1"/>
    </xf>
  </cellXfs>
  <cellStyles count="218">
    <cellStyle name="Normal" xfId="0"/>
    <cellStyle name="RowLevel_0" xfId="1"/>
    <cellStyle name="RowLevel_1" xfId="3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_Balance" xfId="78"/>
    <cellStyle name="Currency [0]_SCHEDULE.XLS" xfId="79"/>
    <cellStyle name="Currency_SCHEDULE.XLS" xfId="80"/>
    <cellStyle name="Euro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rmal_Sheet1" xfId="91"/>
    <cellStyle name="Note" xfId="92"/>
    <cellStyle name="Output" xfId="93"/>
    <cellStyle name="Percent_FinPlan" xfId="94"/>
    <cellStyle name="Title" xfId="95"/>
    <cellStyle name="Total" xfId="96"/>
    <cellStyle name="Warning Text" xfId="97"/>
    <cellStyle name="Акцент1" xfId="98"/>
    <cellStyle name="Акцент1 2" xfId="99"/>
    <cellStyle name="Акцент2" xfId="100"/>
    <cellStyle name="Акцент2 2" xfId="101"/>
    <cellStyle name="Акцент3" xfId="102"/>
    <cellStyle name="Акцент3 2" xfId="103"/>
    <cellStyle name="Акцент4" xfId="104"/>
    <cellStyle name="Акцент4 2" xfId="105"/>
    <cellStyle name="Акцент5" xfId="106"/>
    <cellStyle name="Акцент5 2" xfId="107"/>
    <cellStyle name="Акцент6" xfId="108"/>
    <cellStyle name="Акцент6 2" xfId="109"/>
    <cellStyle name="Баланс ИПК &quot;ШАРК&quot; (в рублях)" xfId="110"/>
    <cellStyle name="Ввод " xfId="111"/>
    <cellStyle name="Ввод  2" xfId="112"/>
    <cellStyle name="Вывод" xfId="113"/>
    <cellStyle name="Вывод 2" xfId="114"/>
    <cellStyle name="Вычисление" xfId="115"/>
    <cellStyle name="Вычисление 2" xfId="116"/>
    <cellStyle name="Hyperlink" xfId="117"/>
    <cellStyle name="Currency" xfId="118"/>
    <cellStyle name="Currency [0]" xfId="119"/>
    <cellStyle name="Денежный 2" xfId="120"/>
    <cellStyle name="Заголовок 1" xfId="121"/>
    <cellStyle name="Заголовок 1 2" xfId="122"/>
    <cellStyle name="Заголовок 2" xfId="123"/>
    <cellStyle name="Заголовок 2 2" xfId="124"/>
    <cellStyle name="Заголовок 3" xfId="125"/>
    <cellStyle name="Заголовок 3 2" xfId="126"/>
    <cellStyle name="Заголовок 4" xfId="127"/>
    <cellStyle name="Заголовок 4 2" xfId="128"/>
    <cellStyle name="Итог" xfId="129"/>
    <cellStyle name="Итог 2" xfId="130"/>
    <cellStyle name="Контрольная ячейка" xfId="131"/>
    <cellStyle name="Контрольная ячейка 2" xfId="132"/>
    <cellStyle name="Название" xfId="133"/>
    <cellStyle name="Название 2" xfId="134"/>
    <cellStyle name="Нейтральный" xfId="135"/>
    <cellStyle name="Нейтральный 2" xfId="136"/>
    <cellStyle name="Обычный 10" xfId="137"/>
    <cellStyle name="Обычный 11" xfId="138"/>
    <cellStyle name="Обычный 12" xfId="139"/>
    <cellStyle name="Обычный 13" xfId="140"/>
    <cellStyle name="Обычный 14" xfId="141"/>
    <cellStyle name="Обычный 15" xfId="142"/>
    <cellStyle name="Обычный 16" xfId="143"/>
    <cellStyle name="Обычный 16 2" xfId="144"/>
    <cellStyle name="Обычный 16_Иловалар" xfId="145"/>
    <cellStyle name="Обычный 17" xfId="146"/>
    <cellStyle name="Обычный 18" xfId="147"/>
    <cellStyle name="Обычный 2" xfId="148"/>
    <cellStyle name="Обычный 2 2" xfId="149"/>
    <cellStyle name="Обычный 2 2 2" xfId="150"/>
    <cellStyle name="Обычный 2 2 3" xfId="151"/>
    <cellStyle name="Обычный 2 2_паспорт локализации холодильников 2012г версия для Р.М " xfId="152"/>
    <cellStyle name="Обычный 2 3" xfId="153"/>
    <cellStyle name="Обычный 2 3 2" xfId="154"/>
    <cellStyle name="Обычный 2 3_Иловалар" xfId="155"/>
    <cellStyle name="Обычный 2 3_паспорт локализации холодильников 2012г версия для Р.М " xfId="156"/>
    <cellStyle name="Обычный 2 4" xfId="157"/>
    <cellStyle name="Обычный 2_Прогноз Баланс и фин результат за 2014г для БП" xfId="158"/>
    <cellStyle name="Обычный 26" xfId="159"/>
    <cellStyle name="Обычный 27" xfId="160"/>
    <cellStyle name="Обычный 28" xfId="161"/>
    <cellStyle name="Обычный 3" xfId="162"/>
    <cellStyle name="Обычный 3 2" xfId="163"/>
    <cellStyle name="Обычный 3 2 2" xfId="164"/>
    <cellStyle name="Обычный 3 2 2 2" xfId="165"/>
    <cellStyle name="Обычный 3 2 2_паспорт локализации холодильников 2012г версия для Р.М " xfId="166"/>
    <cellStyle name="Обычный 3 2 3" xfId="167"/>
    <cellStyle name="Обычный 3 2_паспорт локализации холодильников 2012г версия для Р.М " xfId="168"/>
    <cellStyle name="Обычный 3 3" xfId="169"/>
    <cellStyle name="Обычный 3_Сино-308 15.12.10" xfId="170"/>
    <cellStyle name="Обычный 4" xfId="171"/>
    <cellStyle name="Обычный 4 2" xfId="172"/>
    <cellStyle name="Обычный 4 2 2" xfId="173"/>
    <cellStyle name="Обычный 4 2 3" xfId="174"/>
    <cellStyle name="Обычный 4 2_паспорт локализации холодильников 2012г версия для Р.М " xfId="175"/>
    <cellStyle name="Обычный 4 3" xfId="176"/>
    <cellStyle name="Обычный 5" xfId="177"/>
    <cellStyle name="Обычный 5 2" xfId="178"/>
    <cellStyle name="Обычный 5 3" xfId="179"/>
    <cellStyle name="Обычный 5_паспорт локализации холодильников 2012г версия для Р.М " xfId="180"/>
    <cellStyle name="Обычный 6" xfId="181"/>
    <cellStyle name="Обычный 7" xfId="182"/>
    <cellStyle name="Обычный 8" xfId="183"/>
    <cellStyle name="Обычный 9" xfId="184"/>
    <cellStyle name="Обычный_Кран 5-16,5А5 - второй вариант_расчеты на 2009 год 16.01.09" xfId="185"/>
    <cellStyle name="Обычный_КФР-35 (6.09.08)" xfId="186"/>
    <cellStyle name="Обычный_Отчёт № 1-П 2009г" xfId="187"/>
    <cellStyle name="Обычный_Прогноз Баланс и фин результат за 2014г для БП" xfId="188"/>
    <cellStyle name="Обычный_Сино-307 (6.09.2008) г." xfId="189"/>
    <cellStyle name="Обычный_Сино-307 (6.09.2008) г. 2" xfId="190"/>
    <cellStyle name="Followed Hyperlink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Percent" xfId="198"/>
    <cellStyle name="Процентный 2" xfId="199"/>
    <cellStyle name="Процентный 3" xfId="200"/>
    <cellStyle name="Процентный 3 2" xfId="201"/>
    <cellStyle name="Процентный 4" xfId="202"/>
    <cellStyle name="Процентный 5" xfId="203"/>
    <cellStyle name="Связанная ячейка" xfId="204"/>
    <cellStyle name="Связанная ячейка 2" xfId="205"/>
    <cellStyle name="Текст предупреждения" xfId="206"/>
    <cellStyle name="Текст предупреждения 2" xfId="207"/>
    <cellStyle name="Comma" xfId="208"/>
    <cellStyle name="Comma [0]" xfId="209"/>
    <cellStyle name="Финансовый 2" xfId="210"/>
    <cellStyle name="Финансовый 2 2" xfId="211"/>
    <cellStyle name="Финансовый 2 2 2" xfId="212"/>
    <cellStyle name="Финансовый 2 2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4 2" xfId="218"/>
    <cellStyle name="Финансовый 4 3" xfId="219"/>
    <cellStyle name="Финансовый 5" xfId="220"/>
    <cellStyle name="Финансовый 6" xfId="221"/>
    <cellStyle name="Финансовый 7" xfId="222"/>
    <cellStyle name="Финансовый 8" xfId="223"/>
    <cellStyle name="Хороший" xfId="224"/>
    <cellStyle name="Хороший 2" xfId="225"/>
    <cellStyle name="표준_BACK-UP" xfId="226"/>
    <cellStyle name="常规_PK_CNcntr(Bolt-11)" xfId="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2</xdr:row>
      <xdr:rowOff>85725</xdr:rowOff>
    </xdr:from>
    <xdr:to>
      <xdr:col>4</xdr:col>
      <xdr:colOff>19050</xdr:colOff>
      <xdr:row>6</xdr:row>
      <xdr:rowOff>104775</xdr:rowOff>
    </xdr:to>
    <xdr:sp>
      <xdr:nvSpPr>
        <xdr:cNvPr id="1" name="Rectangle 4"/>
        <xdr:cNvSpPr>
          <a:spLocks/>
        </xdr:cNvSpPr>
      </xdr:nvSpPr>
      <xdr:spPr>
        <a:xfrm>
          <a:off x="914400" y="323850"/>
          <a:ext cx="64389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КУТИЛАЕТГАН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БУХГАЛТЕРИЯ  БАЛАНСИ
</a:t>
          </a:r>
          <a:r>
            <a:rPr lang="en-US" cap="none" sz="1600" b="1" i="0" u="none" baseline="0">
              <a:solidFill>
                <a:srgbClr val="000000"/>
              </a:solidFill>
            </a:rPr>
            <a:t>ОЖИДАЕМЫЙ БУХГАЛТЕРСКИЙ БАЛАНС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Ravshan\Desktop\&#1076;&#1086;&#1082;&#1091;&#1084;&#1077;&#1085;&#1090;&#1099;%20&#1076;&#1086;%2013.09.2013\&#1055;&#1086;&#1090;&#1086;&#1082;%202013%20&#1088;&#1072;&#1089;&#1095;&#1077;&#1090;%20&#1073;&#1087;%20&#1055;&#1057;&#10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\&#1090;&#1080;&#1084;&#1091;&#1088;\&#1055;&#1072;&#1089;&#1087;&#1086;&#1088;&#1090;%20&#1051;&#1086;&#1082;&#1072;&#1083;&#1080;&#1079;&#1072;&#1094;&#1080;&#1080;%20&#1085;&#1072;%202013&#1075;,%202014-2016&#1075;&#1075;\&#1055;&#1072;&#1089;&#1087;&#1086;&#1088;&#1090;%20&#1055;&#1042;&#1061;\&#1087;&#1072;&#1089;&#1087;&#1086;&#1088;&#1090;%20&#1083;&#1086;&#1082;&#1072;&#1083;&#1080;&#1079;&#1072;&#1094;&#1080;&#1080;%20&#1093;&#1086;&#1083;&#1086;&#1076;&#1080;&#1083;&#1100;&#1085;&#1080;&#1082;&#1086;&#1074;%202012&#1075;%20&#1080;&#1089;&#1087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\&#1090;&#1080;&#1084;&#1091;&#1088;\&#1055;&#1072;&#1089;&#1087;&#1086;&#1088;&#1090;%20&#1051;&#1086;&#1082;&#1072;&#1083;&#1080;&#1079;&#1072;&#1094;&#1080;&#1080;%20&#1085;&#1072;%202013&#1075;,%202014-2016&#1075;&#1075;\&#1087;&#1072;&#1089;&#1087;&#1086;&#1088;&#1090;%20&#1083;&#1086;&#1082;&#1072;&#1083;&#1080;&#1079;&#1072;&#1094;&#1080;&#1080;%20&#1093;&#1086;&#1083;&#1086;&#1076;&#1080;&#1083;&#1100;&#1085;&#1080;&#1082;&#1086;&#1074;%20&#1080;%20&#1082;&#1086;&#1085;&#1076;&#1080;&#1094;&#1080;&#1086;&#1085;&#1077;&#1088;&#1086;&#1074;%20&#1085;&#1072;%202014-2016%2031.10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ок наличности"/>
      <sheetName val="прибыль (убытки)"/>
      <sheetName val="пр-во"/>
      <sheetName val="реал"/>
      <sheetName val="прибыль (убытки) 2"/>
      <sheetName val="Кредит1"/>
      <sheetName val="2011"/>
      <sheetName val="ПВХ"/>
      <sheetName val="2012-13 сум темп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  <sheetName val="Январь 2013"/>
      <sheetName val="Февраль 2013 "/>
      <sheetName val="Март 2013 "/>
      <sheetName val="апрель 2013"/>
      <sheetName val="май 2013"/>
      <sheetName val="Июнь 2013"/>
      <sheetName val="Июль 2013"/>
      <sheetName val="Август 2013"/>
      <sheetName val="Сентябрь 2013"/>
      <sheetName val="Октябрь 2013"/>
      <sheetName val="Ноябрь 2013"/>
      <sheetName val="Декабр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."/>
      <sheetName val="2."/>
      <sheetName val="3."/>
      <sheetName val="4."/>
      <sheetName val="Цена"/>
      <sheetName val="5.1"/>
      <sheetName val="5.2"/>
      <sheetName val="5.3"/>
      <sheetName val="6.1"/>
      <sheetName val="517"/>
      <sheetName val="7."/>
      <sheetName val="8."/>
      <sheetName val="9."/>
      <sheetName val="10."/>
      <sheetName val="1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."/>
      <sheetName val="2."/>
      <sheetName val="3."/>
      <sheetName val="4."/>
      <sheetName val="Цена"/>
      <sheetName val="5.1. "/>
      <sheetName val="5.2."/>
      <sheetName val="5.3 "/>
      <sheetName val="5.4"/>
      <sheetName val="5.2"/>
      <sheetName val="5.2 .1"/>
      <sheetName val="6.1 308"/>
      <sheetName val="6.2 250"/>
      <sheetName val="6.3 111"/>
      <sheetName val="6.4 503"/>
      <sheetName val="6.5 517"/>
      <sheetName val="6.6 514"/>
      <sheetName val="6.7 290"/>
      <sheetName val="6.8 350"/>
      <sheetName val="6.9 380"/>
      <sheetName val="6.10 420"/>
      <sheetName val="6.11. mini"/>
      <sheetName val="6.12. 09"/>
      <sheetName val="6.13. 12"/>
      <sheetName val="6.14 24"/>
      <sheetName val="517"/>
      <sheetName val="6.1 (2)"/>
      <sheetName val="7."/>
      <sheetName val="7.1"/>
      <sheetName val="8."/>
      <sheetName val="9."/>
      <sheetName val="10."/>
      <sheetName val="11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F28" sqref="F28"/>
    </sheetView>
  </sheetViews>
  <sheetFormatPr defaultColWidth="9.00390625" defaultRowHeight="12.75"/>
  <cols>
    <col min="1" max="1" width="3.00390625" style="0" customWidth="1"/>
    <col min="2" max="2" width="5.125" style="0" customWidth="1"/>
    <col min="3" max="3" width="7.75390625" style="0" customWidth="1"/>
    <col min="4" max="4" width="3.125" style="0" customWidth="1"/>
    <col min="5" max="5" width="23.625" style="0" customWidth="1"/>
    <col min="6" max="6" width="16.875" style="0" customWidth="1"/>
    <col min="8" max="8" width="14.375" style="0" customWidth="1"/>
    <col min="9" max="9" width="25.625" style="0" customWidth="1"/>
    <col min="10" max="10" width="5.375" style="0" customWidth="1"/>
    <col min="11" max="11" width="1.37890625" style="0" customWidth="1"/>
    <col min="12" max="12" width="4.125" style="0" customWidth="1"/>
  </cols>
  <sheetData>
    <row r="1" spans="1:9" ht="35.25">
      <c r="A1" s="1224" t="s">
        <v>625</v>
      </c>
      <c r="B1" s="1224"/>
      <c r="C1" s="1224"/>
      <c r="D1" s="1224"/>
      <c r="E1" s="1224"/>
      <c r="F1" s="1224"/>
      <c r="G1" s="1224"/>
      <c r="H1" s="1224"/>
      <c r="I1" s="1224"/>
    </row>
    <row r="2" spans="1:9" ht="35.25">
      <c r="A2" s="316"/>
      <c r="B2" s="316"/>
      <c r="C2" s="316"/>
      <c r="D2" s="316"/>
      <c r="E2" s="316"/>
      <c r="F2" s="316"/>
      <c r="G2" s="316"/>
      <c r="H2" s="316"/>
      <c r="I2" s="316"/>
    </row>
    <row r="3" spans="1:9" ht="27.75">
      <c r="A3" s="1225" t="s">
        <v>626</v>
      </c>
      <c r="B3" s="1225"/>
      <c r="C3" s="1225"/>
      <c r="D3" s="1225"/>
      <c r="E3" s="1225"/>
      <c r="F3" s="1225"/>
      <c r="G3" s="317"/>
      <c r="H3" s="318"/>
      <c r="I3" s="318"/>
    </row>
    <row r="4" spans="1:9" ht="18.75" customHeight="1">
      <c r="A4" s="1226" t="s">
        <v>627</v>
      </c>
      <c r="B4" s="1226"/>
      <c r="C4" s="1226"/>
      <c r="D4" s="1226"/>
      <c r="E4" s="1226"/>
      <c r="F4" s="1226"/>
      <c r="G4" s="317"/>
      <c r="H4" s="318"/>
      <c r="I4" s="318"/>
    </row>
    <row r="5" spans="1:9" ht="20.25" customHeight="1">
      <c r="A5" s="319" t="s">
        <v>1447</v>
      </c>
      <c r="B5" s="319"/>
      <c r="C5" s="319"/>
      <c r="D5" s="319"/>
      <c r="E5" s="319"/>
      <c r="F5" s="319"/>
      <c r="G5" s="320"/>
      <c r="H5" s="321"/>
      <c r="I5" s="321"/>
    </row>
    <row r="6" spans="1:9" ht="15.75" customHeight="1">
      <c r="A6" s="1226" t="s">
        <v>628</v>
      </c>
      <c r="B6" s="1226"/>
      <c r="C6" s="1226"/>
      <c r="D6" s="1226"/>
      <c r="E6" s="1226"/>
      <c r="F6" s="1226"/>
      <c r="G6" s="317"/>
      <c r="H6" s="318"/>
      <c r="I6" s="318"/>
    </row>
    <row r="7" spans="1:9" ht="27.75">
      <c r="A7" s="322" t="s">
        <v>629</v>
      </c>
      <c r="B7" s="322"/>
      <c r="C7" s="322"/>
      <c r="D7" s="322" t="s">
        <v>630</v>
      </c>
      <c r="E7" s="322"/>
      <c r="F7" s="322"/>
      <c r="G7" s="317"/>
      <c r="H7" s="318"/>
      <c r="I7" s="318"/>
    </row>
    <row r="8" spans="1:9" ht="27">
      <c r="A8" s="323"/>
      <c r="B8" s="323"/>
      <c r="C8" s="323"/>
      <c r="D8" s="323"/>
      <c r="E8" s="318"/>
      <c r="F8" s="318"/>
      <c r="G8" s="318"/>
      <c r="H8" s="318"/>
      <c r="I8" s="318"/>
    </row>
    <row r="9" spans="1:9" ht="27">
      <c r="A9" s="318"/>
      <c r="B9" s="318"/>
      <c r="C9" s="318"/>
      <c r="D9" s="318"/>
      <c r="E9" s="318"/>
      <c r="F9" s="318"/>
      <c r="G9" s="318"/>
      <c r="H9" s="318"/>
      <c r="I9" s="318"/>
    </row>
    <row r="10" spans="1:9" ht="26.25">
      <c r="A10" s="1220" t="s">
        <v>631</v>
      </c>
      <c r="B10" s="1220"/>
      <c r="C10" s="1220"/>
      <c r="D10" s="1220"/>
      <c r="E10" s="1220"/>
      <c r="F10" s="1220"/>
      <c r="G10" s="1220"/>
      <c r="H10" s="1220"/>
      <c r="I10" s="1220"/>
    </row>
    <row r="11" spans="1:9" ht="26.25">
      <c r="A11" s="1220" t="s">
        <v>632</v>
      </c>
      <c r="B11" s="1220"/>
      <c r="C11" s="1220"/>
      <c r="D11" s="1220"/>
      <c r="E11" s="1220"/>
      <c r="F11" s="1220"/>
      <c r="G11" s="1220"/>
      <c r="H11" s="1220"/>
      <c r="I11" s="1220"/>
    </row>
    <row r="12" spans="1:9" ht="26.25">
      <c r="A12" s="1220" t="s">
        <v>633</v>
      </c>
      <c r="B12" s="1220"/>
      <c r="C12" s="1220"/>
      <c r="D12" s="1220"/>
      <c r="E12" s="1220"/>
      <c r="F12" s="1220"/>
      <c r="G12" s="1220"/>
      <c r="H12" s="1220"/>
      <c r="I12" s="1220"/>
    </row>
    <row r="13" spans="1:9" ht="30">
      <c r="A13" s="1221" t="s">
        <v>634</v>
      </c>
      <c r="B13" s="1221"/>
      <c r="C13" s="1221"/>
      <c r="D13" s="1221"/>
      <c r="E13" s="1221"/>
      <c r="F13" s="1221"/>
      <c r="G13" s="1221"/>
      <c r="H13" s="1221"/>
      <c r="I13" s="1221"/>
    </row>
    <row r="14" spans="1:9" ht="26.25">
      <c r="A14" s="1220" t="s">
        <v>1445</v>
      </c>
      <c r="B14" s="1220"/>
      <c r="C14" s="1220"/>
      <c r="D14" s="1220"/>
      <c r="E14" s="1220"/>
      <c r="F14" s="1220"/>
      <c r="G14" s="1220"/>
      <c r="H14" s="1220"/>
      <c r="I14" s="1220"/>
    </row>
    <row r="15" spans="1:9" ht="30">
      <c r="A15" s="324"/>
      <c r="B15" s="324"/>
      <c r="C15" s="324"/>
      <c r="D15" s="324"/>
      <c r="E15" s="324"/>
      <c r="F15" s="324"/>
      <c r="G15" s="324"/>
      <c r="H15" s="324"/>
      <c r="I15" s="324"/>
    </row>
    <row r="16" spans="1:9" ht="30">
      <c r="A16" s="324"/>
      <c r="B16" s="324"/>
      <c r="C16" s="324"/>
      <c r="D16" s="324"/>
      <c r="E16" s="324"/>
      <c r="F16" s="324"/>
      <c r="G16" s="324"/>
      <c r="H16" s="324"/>
      <c r="I16" s="324"/>
    </row>
    <row r="17" spans="1:9" ht="27.75" thickBot="1">
      <c r="A17" s="318"/>
      <c r="B17" s="318"/>
      <c r="C17" s="318"/>
      <c r="D17" s="318"/>
      <c r="E17" s="318"/>
      <c r="F17" s="318"/>
      <c r="G17" s="318"/>
      <c r="H17" s="318"/>
      <c r="I17" s="318"/>
    </row>
    <row r="18" spans="6:9" ht="24.75" thickBot="1">
      <c r="F18" s="1222" t="s">
        <v>635</v>
      </c>
      <c r="G18" s="1223"/>
      <c r="H18" s="325" t="s">
        <v>636</v>
      </c>
      <c r="I18" s="326" t="s">
        <v>637</v>
      </c>
    </row>
    <row r="19" spans="6:9" ht="15">
      <c r="F19" s="1227" t="s">
        <v>638</v>
      </c>
      <c r="G19" s="1228"/>
      <c r="H19" s="327">
        <v>1428320</v>
      </c>
      <c r="I19" s="1087">
        <v>4784872</v>
      </c>
    </row>
    <row r="20" spans="6:9" ht="15">
      <c r="F20" s="1215" t="s">
        <v>639</v>
      </c>
      <c r="G20" s="1216"/>
      <c r="H20" s="328"/>
      <c r="I20" s="1085"/>
    </row>
    <row r="21" spans="6:9" ht="14.25">
      <c r="F21" s="1215" t="s">
        <v>640</v>
      </c>
      <c r="G21" s="1216"/>
      <c r="H21" s="1085">
        <f>H19*0.51</f>
        <v>728443.2000000001</v>
      </c>
      <c r="I21" s="1085">
        <f>I19*0.51</f>
        <v>2440284.72</v>
      </c>
    </row>
    <row r="22" spans="6:9" ht="28.5" customHeight="1" thickBot="1">
      <c r="F22" s="1217" t="s">
        <v>475</v>
      </c>
      <c r="G22" s="1218"/>
      <c r="H22" s="1086">
        <f>H19*0.49</f>
        <v>699876.7999999999</v>
      </c>
      <c r="I22" s="1086">
        <f>I19*0.49</f>
        <v>2344587.28</v>
      </c>
    </row>
    <row r="25" spans="2:7" ht="18">
      <c r="B25" s="329" t="s">
        <v>641</v>
      </c>
      <c r="C25" s="329"/>
      <c r="D25" s="329"/>
      <c r="E25" s="329"/>
      <c r="F25" s="330"/>
      <c r="G25" s="330"/>
    </row>
    <row r="26" spans="2:7" ht="18">
      <c r="B26" s="329" t="s">
        <v>642</v>
      </c>
      <c r="C26" s="329"/>
      <c r="D26" s="329"/>
      <c r="E26" s="329"/>
      <c r="F26" s="330"/>
      <c r="G26" s="330"/>
    </row>
    <row r="27" spans="2:7" ht="29.25" customHeight="1">
      <c r="B27" s="329" t="s">
        <v>1446</v>
      </c>
      <c r="C27" s="329"/>
      <c r="D27" s="329"/>
      <c r="E27" s="329"/>
      <c r="F27" s="330"/>
      <c r="G27" s="330"/>
    </row>
    <row r="28" spans="2:7" ht="55.5" customHeight="1">
      <c r="B28" s="330"/>
      <c r="C28" s="330"/>
      <c r="D28" s="330"/>
      <c r="E28" s="330"/>
      <c r="F28" s="330"/>
      <c r="G28" s="330"/>
    </row>
    <row r="29" spans="2:7" ht="39.75" customHeight="1">
      <c r="B29" s="330"/>
      <c r="C29" s="330"/>
      <c r="D29" s="330"/>
      <c r="E29" s="330"/>
      <c r="F29" s="330"/>
      <c r="G29" s="330"/>
    </row>
    <row r="30" ht="18">
      <c r="B30" s="330"/>
    </row>
    <row r="40" spans="1:9" ht="23.25">
      <c r="A40" s="1219" t="s">
        <v>643</v>
      </c>
      <c r="B40" s="1219"/>
      <c r="C40" s="1219"/>
      <c r="D40" s="1219"/>
      <c r="E40" s="1219"/>
      <c r="F40" s="1219"/>
      <c r="G40" s="1219"/>
      <c r="H40" s="1219"/>
      <c r="I40" s="1219"/>
    </row>
  </sheetData>
  <sheetProtection/>
  <mergeCells count="15">
    <mergeCell ref="A1:I1"/>
    <mergeCell ref="A3:F3"/>
    <mergeCell ref="A4:F4"/>
    <mergeCell ref="A6:F6"/>
    <mergeCell ref="F19:G19"/>
    <mergeCell ref="F20:G20"/>
    <mergeCell ref="F21:G21"/>
    <mergeCell ref="F22:G22"/>
    <mergeCell ref="A40:I40"/>
    <mergeCell ref="A10:I10"/>
    <mergeCell ref="A11:I11"/>
    <mergeCell ref="A12:I12"/>
    <mergeCell ref="A13:I13"/>
    <mergeCell ref="A14:I14"/>
    <mergeCell ref="F18:G18"/>
  </mergeCells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34"/>
  <sheetViews>
    <sheetView zoomScalePageLayoutView="0" workbookViewId="0" topLeftCell="A4">
      <selection activeCell="E29" sqref="E29"/>
    </sheetView>
  </sheetViews>
  <sheetFormatPr defaultColWidth="9.00390625" defaultRowHeight="12.75"/>
  <cols>
    <col min="1" max="1" width="5.375" style="0" customWidth="1"/>
    <col min="2" max="2" width="14.00390625" style="0" customWidth="1"/>
    <col min="3" max="3" width="11.25390625" style="0" customWidth="1"/>
    <col min="4" max="4" width="11.00390625" style="0" customWidth="1"/>
    <col min="5" max="5" width="13.875" style="0" customWidth="1"/>
    <col min="6" max="6" width="16.125" style="0" customWidth="1"/>
    <col min="7" max="7" width="14.00390625" style="0" customWidth="1"/>
    <col min="8" max="8" width="14.25390625" style="0" customWidth="1"/>
    <col min="9" max="9" width="14.125" style="0" customWidth="1"/>
  </cols>
  <sheetData>
    <row r="1" spans="1:9" ht="16.5">
      <c r="A1" s="1340" t="s">
        <v>1158</v>
      </c>
      <c r="B1" s="1340"/>
      <c r="C1" s="1340"/>
      <c r="D1" s="1340"/>
      <c r="E1" s="1340"/>
      <c r="F1" s="1340"/>
      <c r="G1" s="1340"/>
      <c r="H1" s="1340"/>
      <c r="I1" s="1340"/>
    </row>
    <row r="2" spans="1:9" ht="16.5">
      <c r="A2" s="1340" t="s">
        <v>634</v>
      </c>
      <c r="B2" s="1340"/>
      <c r="C2" s="1340"/>
      <c r="D2" s="1340"/>
      <c r="E2" s="1340"/>
      <c r="F2" s="1340"/>
      <c r="G2" s="1340"/>
      <c r="H2" s="1340"/>
      <c r="I2" s="1340"/>
    </row>
    <row r="3" spans="1:9" ht="18.75" thickBot="1">
      <c r="A3" s="1225"/>
      <c r="B3" s="1225"/>
      <c r="C3" s="1225"/>
      <c r="D3" s="1225"/>
      <c r="E3" s="1225"/>
      <c r="F3" s="1225"/>
      <c r="G3" s="1225"/>
      <c r="H3" s="1225"/>
      <c r="I3" s="1225"/>
    </row>
    <row r="4" spans="1:9" ht="75" customHeight="1" thickBot="1">
      <c r="A4" s="700" t="s">
        <v>272</v>
      </c>
      <c r="B4" s="701" t="s">
        <v>752</v>
      </c>
      <c r="C4" s="701" t="s">
        <v>1098</v>
      </c>
      <c r="D4" s="834" t="s">
        <v>1099</v>
      </c>
      <c r="E4" s="701" t="s">
        <v>1100</v>
      </c>
      <c r="F4" s="701" t="s">
        <v>1101</v>
      </c>
      <c r="G4" s="701" t="s">
        <v>1102</v>
      </c>
      <c r="H4" s="701" t="s">
        <v>1103</v>
      </c>
      <c r="I4" s="835" t="s">
        <v>1272</v>
      </c>
    </row>
    <row r="5" spans="1:9" ht="14.25">
      <c r="A5" s="702">
        <v>1</v>
      </c>
      <c r="B5" s="703" t="s">
        <v>1104</v>
      </c>
      <c r="C5" s="703">
        <v>30</v>
      </c>
      <c r="D5" s="703">
        <v>158</v>
      </c>
      <c r="E5" s="705">
        <v>100</v>
      </c>
      <c r="F5" s="705">
        <f>E5/D5*100</f>
        <v>63.29113924050633</v>
      </c>
      <c r="G5" s="704">
        <f>D5</f>
        <v>158</v>
      </c>
      <c r="H5" s="706">
        <f>E5</f>
        <v>100</v>
      </c>
      <c r="I5" s="707">
        <f>H5/G5*100</f>
        <v>63.29113924050633</v>
      </c>
    </row>
    <row r="6" spans="1:9" ht="14.25">
      <c r="A6" s="702">
        <v>2</v>
      </c>
      <c r="B6" s="703" t="s">
        <v>1105</v>
      </c>
      <c r="C6" s="703">
        <v>27</v>
      </c>
      <c r="D6" s="703">
        <v>143</v>
      </c>
      <c r="E6" s="705">
        <v>110</v>
      </c>
      <c r="F6" s="705">
        <f>E6/D6*100</f>
        <v>76.92307692307693</v>
      </c>
      <c r="G6" s="704">
        <f>D6+G5</f>
        <v>301</v>
      </c>
      <c r="H6" s="706">
        <f>H5+E6</f>
        <v>210</v>
      </c>
      <c r="I6" s="707">
        <f>H6/G6*100</f>
        <v>69.76744186046511</v>
      </c>
    </row>
    <row r="7" spans="1:9" ht="15">
      <c r="A7" s="702">
        <v>3</v>
      </c>
      <c r="B7" s="703" t="s">
        <v>454</v>
      </c>
      <c r="C7" s="703">
        <v>30</v>
      </c>
      <c r="D7" s="703">
        <v>158</v>
      </c>
      <c r="E7" s="705">
        <v>110</v>
      </c>
      <c r="F7" s="705">
        <f>E7/D7*100</f>
        <v>69.62025316455697</v>
      </c>
      <c r="G7" s="708">
        <f>G6+D7</f>
        <v>459</v>
      </c>
      <c r="H7" s="709">
        <f>H6+E7</f>
        <v>320</v>
      </c>
      <c r="I7" s="710">
        <f>H7/G7*100</f>
        <v>69.71677559912854</v>
      </c>
    </row>
    <row r="8" spans="1:9" ht="15">
      <c r="A8" s="702"/>
      <c r="B8" s="711" t="s">
        <v>282</v>
      </c>
      <c r="C8" s="711">
        <f>SUM(C5:C7)</f>
        <v>87</v>
      </c>
      <c r="D8" s="836">
        <f>SUM(D5:D7)</f>
        <v>459</v>
      </c>
      <c r="E8" s="712">
        <f>SUM(E5:E7)</f>
        <v>320</v>
      </c>
      <c r="F8" s="712">
        <f>E8/D8*100</f>
        <v>69.71677559912854</v>
      </c>
      <c r="G8" s="708"/>
      <c r="H8" s="709"/>
      <c r="I8" s="707"/>
    </row>
    <row r="9" spans="1:9" ht="15">
      <c r="A9" s="702"/>
      <c r="B9" s="711"/>
      <c r="C9" s="711"/>
      <c r="D9" s="703"/>
      <c r="E9" s="705"/>
      <c r="F9" s="705"/>
      <c r="G9" s="704"/>
      <c r="H9" s="706"/>
      <c r="I9" s="707"/>
    </row>
    <row r="10" spans="1:9" ht="14.25">
      <c r="A10" s="702">
        <v>4</v>
      </c>
      <c r="B10" s="703" t="s">
        <v>753</v>
      </c>
      <c r="C10" s="703">
        <v>29</v>
      </c>
      <c r="D10" s="703">
        <v>153</v>
      </c>
      <c r="E10" s="705">
        <v>110</v>
      </c>
      <c r="F10" s="705">
        <f>E10/D10*100</f>
        <v>71.89542483660131</v>
      </c>
      <c r="G10" s="704">
        <f>G7+D10</f>
        <v>612</v>
      </c>
      <c r="H10" s="706">
        <f>H7+E10</f>
        <v>430</v>
      </c>
      <c r="I10" s="707">
        <f>H10/G10*100</f>
        <v>70.26143790849673</v>
      </c>
    </row>
    <row r="11" spans="1:9" ht="14.25">
      <c r="A11" s="702">
        <v>5</v>
      </c>
      <c r="B11" s="703" t="s">
        <v>754</v>
      </c>
      <c r="C11" s="703">
        <v>30</v>
      </c>
      <c r="D11" s="703">
        <v>158</v>
      </c>
      <c r="E11" s="705">
        <v>110</v>
      </c>
      <c r="F11" s="705">
        <f>E11/D11*100</f>
        <v>69.62025316455697</v>
      </c>
      <c r="G11" s="704">
        <f>G10+D11</f>
        <v>770</v>
      </c>
      <c r="H11" s="706">
        <f>H10+E11</f>
        <v>540</v>
      </c>
      <c r="I11" s="707">
        <f>H11/G11*100</f>
        <v>70.12987012987013</v>
      </c>
    </row>
    <row r="12" spans="1:9" ht="15">
      <c r="A12" s="702">
        <v>6</v>
      </c>
      <c r="B12" s="703" t="s">
        <v>755</v>
      </c>
      <c r="C12" s="703">
        <v>29</v>
      </c>
      <c r="D12" s="703">
        <v>153</v>
      </c>
      <c r="E12" s="705">
        <v>95</v>
      </c>
      <c r="F12" s="705">
        <f>E12/D12*100</f>
        <v>62.091503267973856</v>
      </c>
      <c r="G12" s="708">
        <f>G11+D12</f>
        <v>923</v>
      </c>
      <c r="H12" s="709">
        <f>H11+E12</f>
        <v>635</v>
      </c>
      <c r="I12" s="710">
        <f>H12/G12*100</f>
        <v>68.79739978331527</v>
      </c>
    </row>
    <row r="13" spans="1:9" ht="15">
      <c r="A13" s="702"/>
      <c r="B13" s="711" t="s">
        <v>283</v>
      </c>
      <c r="C13" s="711">
        <f>SUM(C10:C12)</f>
        <v>88</v>
      </c>
      <c r="D13" s="836">
        <f>SUM(D10:D12)</f>
        <v>464</v>
      </c>
      <c r="E13" s="712">
        <f>SUM(E10:E12)</f>
        <v>315</v>
      </c>
      <c r="F13" s="712">
        <f>E13/D13*100</f>
        <v>67.88793103448276</v>
      </c>
      <c r="G13" s="704"/>
      <c r="H13" s="706"/>
      <c r="I13" s="707"/>
    </row>
    <row r="14" spans="1:9" ht="30.75" customHeight="1">
      <c r="A14" s="702"/>
      <c r="B14" s="713" t="s">
        <v>983</v>
      </c>
      <c r="C14" s="711">
        <f>C8+C13</f>
        <v>175</v>
      </c>
      <c r="D14" s="836">
        <f>D8+D13</f>
        <v>923</v>
      </c>
      <c r="E14" s="712">
        <f>E8+E13</f>
        <v>635</v>
      </c>
      <c r="F14" s="712">
        <f>E14/D14*100</f>
        <v>68.79739978331527</v>
      </c>
      <c r="G14" s="704"/>
      <c r="H14" s="706"/>
      <c r="I14" s="707"/>
    </row>
    <row r="15" spans="1:9" ht="15">
      <c r="A15" s="702"/>
      <c r="B15" s="711"/>
      <c r="C15" s="711"/>
      <c r="D15" s="703"/>
      <c r="E15" s="705"/>
      <c r="F15" s="705"/>
      <c r="G15" s="704"/>
      <c r="H15" s="706"/>
      <c r="I15" s="707"/>
    </row>
    <row r="16" spans="1:9" ht="14.25">
      <c r="A16" s="702">
        <v>7</v>
      </c>
      <c r="B16" s="703" t="s">
        <v>756</v>
      </c>
      <c r="C16" s="703">
        <v>20</v>
      </c>
      <c r="D16" s="703">
        <v>107</v>
      </c>
      <c r="E16" s="705">
        <v>85</v>
      </c>
      <c r="F16" s="705">
        <f>E16/D16*100</f>
        <v>79.43925233644859</v>
      </c>
      <c r="G16" s="704">
        <f>G12+D16</f>
        <v>1030</v>
      </c>
      <c r="H16" s="705">
        <f>H12+E16</f>
        <v>720</v>
      </c>
      <c r="I16" s="707">
        <f>H16/G16*100</f>
        <v>69.90291262135922</v>
      </c>
    </row>
    <row r="17" spans="1:9" ht="14.25">
      <c r="A17" s="702">
        <v>8</v>
      </c>
      <c r="B17" s="703" t="s">
        <v>757</v>
      </c>
      <c r="C17" s="703">
        <v>30</v>
      </c>
      <c r="D17" s="703">
        <v>158</v>
      </c>
      <c r="E17" s="705">
        <v>110</v>
      </c>
      <c r="F17" s="705">
        <f>E17/D17*100</f>
        <v>69.62025316455697</v>
      </c>
      <c r="G17" s="704">
        <f>G16+D17</f>
        <v>1188</v>
      </c>
      <c r="H17" s="705">
        <f>H16+E17</f>
        <v>830</v>
      </c>
      <c r="I17" s="707">
        <f>H17/G17*100</f>
        <v>69.86531986531986</v>
      </c>
    </row>
    <row r="18" spans="1:9" ht="15">
      <c r="A18" s="702">
        <v>9</v>
      </c>
      <c r="B18" s="703" t="s">
        <v>758</v>
      </c>
      <c r="C18" s="703">
        <v>29</v>
      </c>
      <c r="D18" s="703">
        <v>153</v>
      </c>
      <c r="E18" s="705">
        <v>110</v>
      </c>
      <c r="F18" s="705">
        <f>E18/D18*100</f>
        <v>71.89542483660131</v>
      </c>
      <c r="G18" s="708">
        <f>G17+D18</f>
        <v>1341</v>
      </c>
      <c r="H18" s="712">
        <f>H17+E18</f>
        <v>940</v>
      </c>
      <c r="I18" s="710">
        <f>H18/G18*100</f>
        <v>70.09694258016405</v>
      </c>
    </row>
    <row r="19" spans="1:9" ht="15">
      <c r="A19" s="702"/>
      <c r="B19" s="711" t="s">
        <v>284</v>
      </c>
      <c r="C19" s="711">
        <f>SUM(C16:C18)</f>
        <v>79</v>
      </c>
      <c r="D19" s="703">
        <f>SUM(D16:D18)</f>
        <v>418</v>
      </c>
      <c r="E19" s="712">
        <f>SUM(E16:E18)</f>
        <v>305</v>
      </c>
      <c r="F19" s="712">
        <f>E19/D19*100</f>
        <v>72.96650717703349</v>
      </c>
      <c r="G19" s="704"/>
      <c r="H19" s="705"/>
      <c r="I19" s="707"/>
    </row>
    <row r="20" spans="1:9" ht="15">
      <c r="A20" s="702"/>
      <c r="B20" s="711" t="s">
        <v>1106</v>
      </c>
      <c r="C20" s="711">
        <f>C19+C14</f>
        <v>254</v>
      </c>
      <c r="D20" s="836">
        <f>D14+D19</f>
        <v>1341</v>
      </c>
      <c r="E20" s="712">
        <f>E19+E14</f>
        <v>940</v>
      </c>
      <c r="F20" s="712">
        <f>E20/D20*100</f>
        <v>70.09694258016405</v>
      </c>
      <c r="G20" s="704"/>
      <c r="H20" s="706"/>
      <c r="I20" s="707"/>
    </row>
    <row r="21" spans="1:9" ht="15">
      <c r="A21" s="702"/>
      <c r="B21" s="711"/>
      <c r="C21" s="711"/>
      <c r="D21" s="703"/>
      <c r="E21" s="705"/>
      <c r="F21" s="705"/>
      <c r="G21" s="704"/>
      <c r="H21" s="705"/>
      <c r="I21" s="707"/>
    </row>
    <row r="22" spans="1:9" ht="14.25">
      <c r="A22" s="702">
        <v>10</v>
      </c>
      <c r="B22" s="703" t="s">
        <v>759</v>
      </c>
      <c r="C22" s="703">
        <v>30</v>
      </c>
      <c r="D22" s="703">
        <v>158</v>
      </c>
      <c r="E22" s="705">
        <v>110</v>
      </c>
      <c r="F22" s="705">
        <f aca="true" t="shared" si="0" ref="F22:F27">E22/D22*100</f>
        <v>69.62025316455697</v>
      </c>
      <c r="G22" s="704">
        <f>G18+D22</f>
        <v>1499</v>
      </c>
      <c r="H22" s="705">
        <f>H18+E22</f>
        <v>1050</v>
      </c>
      <c r="I22" s="707">
        <f>H22/G22*100</f>
        <v>70.04669779853235</v>
      </c>
    </row>
    <row r="23" spans="1:9" ht="14.25">
      <c r="A23" s="702">
        <v>11</v>
      </c>
      <c r="B23" s="703" t="s">
        <v>760</v>
      </c>
      <c r="C23" s="703">
        <v>29</v>
      </c>
      <c r="D23" s="703">
        <v>153</v>
      </c>
      <c r="E23" s="705">
        <v>110</v>
      </c>
      <c r="F23" s="705">
        <f t="shared" si="0"/>
        <v>71.89542483660131</v>
      </c>
      <c r="G23" s="704">
        <f>G22+D23</f>
        <v>1652</v>
      </c>
      <c r="H23" s="705">
        <f>H22+E23</f>
        <v>1160</v>
      </c>
      <c r="I23" s="707">
        <f>H23/G23*100</f>
        <v>70.2179176755448</v>
      </c>
    </row>
    <row r="24" spans="1:9" ht="15">
      <c r="A24" s="702">
        <v>12</v>
      </c>
      <c r="B24" s="703" t="s">
        <v>761</v>
      </c>
      <c r="C24" s="703">
        <v>30</v>
      </c>
      <c r="D24" s="703">
        <v>158</v>
      </c>
      <c r="E24" s="705">
        <v>110</v>
      </c>
      <c r="F24" s="705">
        <f t="shared" si="0"/>
        <v>69.62025316455697</v>
      </c>
      <c r="G24" s="708">
        <f>G23+D24</f>
        <v>1810</v>
      </c>
      <c r="H24" s="712">
        <f>H23+E24</f>
        <v>1270</v>
      </c>
      <c r="I24" s="710">
        <f>H24/G24*100</f>
        <v>70.1657458563536</v>
      </c>
    </row>
    <row r="25" spans="1:9" ht="15">
      <c r="A25" s="702"/>
      <c r="B25" s="711" t="s">
        <v>285</v>
      </c>
      <c r="C25" s="711">
        <f>C22+C23+C24</f>
        <v>89</v>
      </c>
      <c r="D25" s="836">
        <f>SUM(D22:D24)</f>
        <v>469</v>
      </c>
      <c r="E25" s="712">
        <f>SUM(E22:E24)</f>
        <v>330</v>
      </c>
      <c r="F25" s="712">
        <f t="shared" si="0"/>
        <v>70.36247334754798</v>
      </c>
      <c r="G25" s="703"/>
      <c r="H25" s="706"/>
      <c r="I25" s="714"/>
    </row>
    <row r="26" spans="1:9" ht="33" customHeight="1">
      <c r="A26" s="702"/>
      <c r="B26" s="713" t="s">
        <v>1107</v>
      </c>
      <c r="C26" s="711">
        <f>C19+C25</f>
        <v>168</v>
      </c>
      <c r="D26" s="836">
        <f>D19+D25</f>
        <v>887</v>
      </c>
      <c r="E26" s="712">
        <f>E19+E25</f>
        <v>635</v>
      </c>
      <c r="F26" s="712">
        <f t="shared" si="0"/>
        <v>71.58962795941376</v>
      </c>
      <c r="G26" s="703"/>
      <c r="H26" s="706"/>
      <c r="I26" s="714"/>
    </row>
    <row r="27" spans="1:9" ht="30.75" customHeight="1" thickBot="1">
      <c r="A27" s="715"/>
      <c r="B27" s="716" t="s">
        <v>1108</v>
      </c>
      <c r="C27" s="717">
        <f>C26+C14</f>
        <v>343</v>
      </c>
      <c r="D27" s="837">
        <f>D20+D25</f>
        <v>1810</v>
      </c>
      <c r="E27" s="718">
        <f>E25+E20</f>
        <v>1270</v>
      </c>
      <c r="F27" s="718">
        <f t="shared" si="0"/>
        <v>70.1657458563536</v>
      </c>
      <c r="G27" s="719"/>
      <c r="H27" s="719"/>
      <c r="I27" s="720"/>
    </row>
    <row r="28" spans="1:9" ht="15.75">
      <c r="A28" s="721"/>
      <c r="B28" s="722"/>
      <c r="C28" s="722"/>
      <c r="D28" s="722"/>
      <c r="E28" s="722"/>
      <c r="F28" s="723"/>
      <c r="G28" s="724"/>
      <c r="H28" s="724"/>
      <c r="I28" s="724"/>
    </row>
    <row r="29" spans="1:9" ht="15">
      <c r="A29" s="137"/>
      <c r="B29" s="482" t="s">
        <v>349</v>
      </c>
      <c r="C29" s="725"/>
      <c r="D29" s="725"/>
      <c r="E29" s="725"/>
      <c r="F29" s="482" t="s">
        <v>350</v>
      </c>
      <c r="G29" s="725"/>
      <c r="H29" s="726"/>
      <c r="I29" s="726"/>
    </row>
    <row r="30" spans="2:9" ht="15">
      <c r="B30" s="675" t="s">
        <v>1111</v>
      </c>
      <c r="C30" s="725"/>
      <c r="D30" s="725"/>
      <c r="E30" s="725"/>
      <c r="F30" s="482"/>
      <c r="G30" s="725"/>
      <c r="H30" s="727"/>
      <c r="I30" s="728"/>
    </row>
    <row r="31" spans="2:9" ht="14.25">
      <c r="B31" s="725"/>
      <c r="C31" s="725"/>
      <c r="D31" s="725"/>
      <c r="E31" s="725"/>
      <c r="F31" s="725"/>
      <c r="G31" s="725"/>
      <c r="H31" s="727"/>
      <c r="I31" s="728"/>
    </row>
    <row r="32" spans="2:9" ht="15">
      <c r="B32" s="482" t="s">
        <v>1458</v>
      </c>
      <c r="C32" s="725"/>
      <c r="D32" s="725"/>
      <c r="E32" s="725"/>
      <c r="F32" s="482" t="s">
        <v>1448</v>
      </c>
      <c r="G32" s="725"/>
      <c r="H32" s="727"/>
      <c r="I32" s="728"/>
    </row>
    <row r="33" spans="2:9" ht="14.25">
      <c r="B33" s="725"/>
      <c r="C33" s="725"/>
      <c r="D33" s="725"/>
      <c r="E33" s="725"/>
      <c r="F33" s="725"/>
      <c r="G33" s="725"/>
      <c r="H33" s="727"/>
      <c r="I33" s="728"/>
    </row>
    <row r="34" spans="2:9" ht="15">
      <c r="B34" s="482" t="s">
        <v>1109</v>
      </c>
      <c r="C34" s="725"/>
      <c r="D34" s="725"/>
      <c r="E34" s="725"/>
      <c r="F34" s="482" t="s">
        <v>1110</v>
      </c>
      <c r="G34" s="725"/>
      <c r="H34" s="727"/>
      <c r="I34" s="728"/>
    </row>
  </sheetData>
  <sheetProtection/>
  <mergeCells count="3">
    <mergeCell ref="A1:I1"/>
    <mergeCell ref="A2:I2"/>
    <mergeCell ref="A3:I3"/>
  </mergeCells>
  <printOptions/>
  <pageMargins left="1.4173228346456694" right="0.2362204724409449" top="0.74" bottom="0.2755905511811024" header="0.2362204724409449" footer="0.2362204724409449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"/>
  <sheetViews>
    <sheetView zoomScaleSheetLayoutView="130" zoomScalePageLayoutView="0" workbookViewId="0" topLeftCell="A1">
      <pane xSplit="2" ySplit="2" topLeftCell="C3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D23" sqref="D23"/>
    </sheetView>
  </sheetViews>
  <sheetFormatPr defaultColWidth="9.00390625" defaultRowHeight="12.75"/>
  <cols>
    <col min="1" max="1" width="7.375" style="4" customWidth="1"/>
    <col min="2" max="2" width="42.25390625" style="14" customWidth="1"/>
    <col min="3" max="4" width="11.25390625" style="14" customWidth="1"/>
    <col min="5" max="5" width="13.125" style="14" customWidth="1"/>
    <col min="6" max="6" width="13.75390625" style="15" customWidth="1"/>
    <col min="7" max="7" width="12.125" style="14" bestFit="1" customWidth="1"/>
    <col min="8" max="8" width="15.75390625" style="14" customWidth="1"/>
    <col min="9" max="15" width="22.25390625" style="14" customWidth="1"/>
    <col min="16" max="16384" width="9.125" style="14" customWidth="1"/>
  </cols>
  <sheetData>
    <row r="1" ht="15.75">
      <c r="H1" s="81"/>
    </row>
    <row r="2" spans="1:8" ht="27.75" customHeight="1">
      <c r="A2" s="1343" t="s">
        <v>1302</v>
      </c>
      <c r="B2" s="1343"/>
      <c r="C2" s="1343"/>
      <c r="D2" s="1343"/>
      <c r="E2" s="1343"/>
      <c r="F2" s="1343"/>
      <c r="G2" s="1343"/>
      <c r="H2" s="1343"/>
    </row>
    <row r="3" spans="1:8" ht="27.75" customHeight="1">
      <c r="A3" s="1343" t="s">
        <v>1303</v>
      </c>
      <c r="B3" s="1343"/>
      <c r="C3" s="1343"/>
      <c r="D3" s="1343"/>
      <c r="E3" s="1343"/>
      <c r="F3" s="1343"/>
      <c r="G3" s="1343"/>
      <c r="H3" s="1343"/>
    </row>
    <row r="4" spans="2:6" ht="13.5" customHeight="1" thickBot="1">
      <c r="B4" s="11"/>
      <c r="C4" s="11"/>
      <c r="D4" s="11"/>
      <c r="E4" s="11"/>
      <c r="F4" s="858"/>
    </row>
    <row r="5" spans="1:8" ht="15" customHeight="1">
      <c r="A5" s="1341" t="s">
        <v>249</v>
      </c>
      <c r="B5" s="1344" t="s">
        <v>54</v>
      </c>
      <c r="C5" s="1344" t="s">
        <v>58</v>
      </c>
      <c r="D5" s="1344" t="s">
        <v>1297</v>
      </c>
      <c r="E5" s="1344" t="s">
        <v>1298</v>
      </c>
      <c r="F5" s="1344" t="s">
        <v>1444</v>
      </c>
      <c r="G5" s="1346" t="s">
        <v>1300</v>
      </c>
      <c r="H5" s="1348" t="s">
        <v>1301</v>
      </c>
    </row>
    <row r="6" spans="1:8" ht="18.75" customHeight="1" thickBot="1">
      <c r="A6" s="1342"/>
      <c r="B6" s="1345"/>
      <c r="C6" s="1345"/>
      <c r="D6" s="1345"/>
      <c r="E6" s="1345"/>
      <c r="F6" s="1345"/>
      <c r="G6" s="1347"/>
      <c r="H6" s="1349"/>
    </row>
    <row r="7" spans="1:8" s="10" customFormat="1" ht="15.75">
      <c r="A7" s="125">
        <v>1</v>
      </c>
      <c r="B7" s="126" t="s">
        <v>55</v>
      </c>
      <c r="C7" s="126" t="s">
        <v>342</v>
      </c>
      <c r="D7" s="126">
        <v>42469</v>
      </c>
      <c r="E7" s="126">
        <v>54601</v>
      </c>
      <c r="F7" s="127">
        <f>E7/D7*100</f>
        <v>128.56671925404413</v>
      </c>
      <c r="G7" s="126">
        <v>59896</v>
      </c>
      <c r="H7" s="128">
        <f>G7/E7*100</f>
        <v>109.69762458563031</v>
      </c>
    </row>
    <row r="8" spans="1:8" s="10" customFormat="1" ht="28.5" customHeight="1">
      <c r="A8" s="129">
        <v>2</v>
      </c>
      <c r="B8" s="12" t="s">
        <v>56</v>
      </c>
      <c r="C8" s="12" t="s">
        <v>342</v>
      </c>
      <c r="D8" s="12">
        <v>1130.415</v>
      </c>
      <c r="E8" s="12">
        <v>1408</v>
      </c>
      <c r="F8" s="92">
        <f>E8/D8*100</f>
        <v>124.55602588429913</v>
      </c>
      <c r="G8" s="12">
        <v>1480</v>
      </c>
      <c r="H8" s="130">
        <f>G8/E8*100</f>
        <v>105.11363636363636</v>
      </c>
    </row>
    <row r="9" spans="1:8" s="10" customFormat="1" ht="24" customHeight="1">
      <c r="A9" s="129">
        <v>3</v>
      </c>
      <c r="B9" s="12" t="s">
        <v>343</v>
      </c>
      <c r="C9" s="12" t="s">
        <v>342</v>
      </c>
      <c r="D9" s="12"/>
      <c r="E9" s="12"/>
      <c r="F9" s="92"/>
      <c r="G9" s="12"/>
      <c r="H9" s="131"/>
    </row>
    <row r="10" spans="1:8" s="10" customFormat="1" ht="15.75">
      <c r="A10" s="129">
        <v>4</v>
      </c>
      <c r="B10" s="12" t="s">
        <v>59</v>
      </c>
      <c r="C10" s="12"/>
      <c r="D10" s="12"/>
      <c r="E10" s="12"/>
      <c r="F10" s="92"/>
      <c r="G10" s="12"/>
      <c r="H10" s="131"/>
    </row>
    <row r="11" spans="1:8" s="10" customFormat="1" ht="15.75">
      <c r="A11" s="129"/>
      <c r="B11" s="12" t="s">
        <v>344</v>
      </c>
      <c r="C11" s="12" t="s">
        <v>345</v>
      </c>
      <c r="D11" s="12">
        <v>10643.5</v>
      </c>
      <c r="E11" s="12">
        <v>12003</v>
      </c>
      <c r="F11" s="92">
        <f>E11/D11*100</f>
        <v>112.77305397660544</v>
      </c>
      <c r="G11" s="12">
        <v>12700</v>
      </c>
      <c r="H11" s="130">
        <f>G11/E11*100</f>
        <v>105.8068816129301</v>
      </c>
    </row>
    <row r="12" spans="1:8" s="10" customFormat="1" ht="15.75">
      <c r="A12" s="129"/>
      <c r="B12" s="12" t="s">
        <v>346</v>
      </c>
      <c r="C12" s="12" t="s">
        <v>345</v>
      </c>
      <c r="D12" s="12">
        <v>463.3</v>
      </c>
      <c r="E12" s="12">
        <v>463</v>
      </c>
      <c r="F12" s="92">
        <f>E12/D12*100</f>
        <v>99.93524714008201</v>
      </c>
      <c r="G12" s="12">
        <v>500</v>
      </c>
      <c r="H12" s="130">
        <f>G12/E12*100</f>
        <v>107.9913606911447</v>
      </c>
    </row>
    <row r="13" spans="1:8" s="10" customFormat="1" ht="15.75">
      <c r="A13" s="129"/>
      <c r="B13" s="12" t="s">
        <v>1299</v>
      </c>
      <c r="C13" s="12" t="s">
        <v>347</v>
      </c>
      <c r="D13" s="12">
        <v>5.1</v>
      </c>
      <c r="E13" s="12">
        <v>6</v>
      </c>
      <c r="F13" s="92">
        <f>E13/D13*100</f>
        <v>117.64705882352942</v>
      </c>
      <c r="G13" s="12">
        <v>6</v>
      </c>
      <c r="H13" s="130">
        <f>G13/E13*100</f>
        <v>100</v>
      </c>
    </row>
    <row r="14" spans="1:8" s="10" customFormat="1" ht="15.75">
      <c r="A14" s="129"/>
      <c r="B14" s="93"/>
      <c r="C14" s="12"/>
      <c r="D14" s="12"/>
      <c r="E14" s="12"/>
      <c r="F14" s="13"/>
      <c r="G14" s="102"/>
      <c r="H14" s="130"/>
    </row>
    <row r="15" spans="1:8" s="10" customFormat="1" ht="15.75">
      <c r="A15" s="129">
        <v>4</v>
      </c>
      <c r="B15" s="12" t="s">
        <v>57</v>
      </c>
      <c r="C15" s="12" t="s">
        <v>101</v>
      </c>
      <c r="D15" s="8" t="s">
        <v>348</v>
      </c>
      <c r="E15" s="8" t="s">
        <v>348</v>
      </c>
      <c r="F15" s="8" t="s">
        <v>348</v>
      </c>
      <c r="G15" s="8" t="s">
        <v>348</v>
      </c>
      <c r="H15" s="132" t="s">
        <v>348</v>
      </c>
    </row>
    <row r="16" spans="1:8" s="10" customFormat="1" ht="24" customHeight="1" thickBot="1">
      <c r="A16" s="129">
        <v>5</v>
      </c>
      <c r="B16" s="12" t="s">
        <v>254</v>
      </c>
      <c r="C16" s="12" t="s">
        <v>99</v>
      </c>
      <c r="D16" s="133">
        <v>3193.807</v>
      </c>
      <c r="E16" s="133">
        <v>4422</v>
      </c>
      <c r="F16" s="134">
        <f>E16/D16*100</f>
        <v>138.45545457192625</v>
      </c>
      <c r="G16" s="135">
        <v>4552</v>
      </c>
      <c r="H16" s="136">
        <f>G16/E16*100</f>
        <v>102.9398462234283</v>
      </c>
    </row>
    <row r="17" spans="1:8" ht="16.5" thickBot="1">
      <c r="A17" s="859">
        <v>6</v>
      </c>
      <c r="B17" s="860" t="s">
        <v>340</v>
      </c>
      <c r="C17" s="860" t="s">
        <v>469</v>
      </c>
      <c r="D17" s="860">
        <v>386</v>
      </c>
      <c r="E17" s="860">
        <v>388</v>
      </c>
      <c r="F17" s="861"/>
      <c r="G17" s="860">
        <v>390</v>
      </c>
      <c r="H17" s="862"/>
    </row>
    <row r="19" spans="2:6" ht="15.75">
      <c r="B19" s="137" t="s">
        <v>349</v>
      </c>
      <c r="C19"/>
      <c r="D19"/>
      <c r="E19"/>
      <c r="F19" s="137" t="s">
        <v>350</v>
      </c>
    </row>
    <row r="20" spans="2:6" ht="15.75">
      <c r="B20" s="138" t="s">
        <v>351</v>
      </c>
      <c r="C20"/>
      <c r="D20"/>
      <c r="E20" s="139"/>
      <c r="F20" s="139"/>
    </row>
    <row r="21" spans="2:6" ht="15.75">
      <c r="B21"/>
      <c r="C21"/>
      <c r="D21"/>
      <c r="E21"/>
      <c r="F21" s="140"/>
    </row>
    <row r="22" spans="2:6" ht="15.75">
      <c r="B22" s="137" t="s">
        <v>1449</v>
      </c>
      <c r="C22"/>
      <c r="D22"/>
      <c r="E22"/>
      <c r="F22" s="137" t="s">
        <v>1448</v>
      </c>
    </row>
    <row r="23" spans="2:6" ht="15.75">
      <c r="B23"/>
      <c r="C23"/>
      <c r="D23"/>
      <c r="E23"/>
      <c r="F23"/>
    </row>
    <row r="24" spans="2:6" ht="15.75">
      <c r="B24" s="137" t="s">
        <v>1112</v>
      </c>
      <c r="C24"/>
      <c r="D24"/>
      <c r="E24"/>
      <c r="F24" s="137" t="s">
        <v>352</v>
      </c>
    </row>
  </sheetData>
  <sheetProtection/>
  <mergeCells count="10">
    <mergeCell ref="A5:A6"/>
    <mergeCell ref="A2:H2"/>
    <mergeCell ref="E5:E6"/>
    <mergeCell ref="C5:C6"/>
    <mergeCell ref="F5:F6"/>
    <mergeCell ref="B5:B6"/>
    <mergeCell ref="G5:G6"/>
    <mergeCell ref="H5:H6"/>
    <mergeCell ref="D5:D6"/>
    <mergeCell ref="A3:H3"/>
  </mergeCells>
  <printOptions horizontalCentered="1" verticalCentered="1"/>
  <pageMargins left="0.1968503937007874" right="0.2755905511811024" top="0.51" bottom="0.2755905511811024" header="0.15748031496062992" footer="0.15748031496062992"/>
  <pageSetup horizontalDpi="200" verticalDpi="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showZeros="0" zoomScaleSheetLayoutView="100" zoomScalePageLayoutView="0" workbookViewId="0" topLeftCell="A1">
      <selection activeCell="A22" sqref="A22:G22"/>
    </sheetView>
  </sheetViews>
  <sheetFormatPr defaultColWidth="9.00390625" defaultRowHeight="12.75"/>
  <cols>
    <col min="1" max="1" width="5.00390625" style="31" customWidth="1"/>
    <col min="2" max="2" width="43.125" style="53" customWidth="1"/>
    <col min="3" max="3" width="11.75390625" style="31" customWidth="1"/>
    <col min="4" max="4" width="12.25390625" style="31" customWidth="1"/>
    <col min="5" max="5" width="10.625" style="31" customWidth="1"/>
    <col min="6" max="6" width="11.375" style="31" customWidth="1"/>
    <col min="7" max="7" width="10.25390625" style="31" customWidth="1"/>
    <col min="8" max="8" width="13.125" style="31" customWidth="1"/>
    <col min="9" max="9" width="11.875" style="31" customWidth="1"/>
    <col min="10" max="10" width="10.00390625" style="31" customWidth="1"/>
    <col min="11" max="16384" width="9.125" style="31" customWidth="1"/>
  </cols>
  <sheetData>
    <row r="1" spans="9:10" ht="11.25">
      <c r="I1" s="1354"/>
      <c r="J1" s="1355"/>
    </row>
    <row r="2" ht="7.5" customHeight="1"/>
    <row r="3" ht="10.5" customHeight="1">
      <c r="J3" s="84"/>
    </row>
    <row r="4" spans="2:10" ht="15.75" customHeight="1">
      <c r="B4" s="1353" t="s">
        <v>1273</v>
      </c>
      <c r="C4" s="1353"/>
      <c r="D4" s="1353"/>
      <c r="E4" s="1353"/>
      <c r="F4" s="1353"/>
      <c r="G4" s="1353"/>
      <c r="H4" s="1353"/>
      <c r="I4" s="1353"/>
      <c r="J4" s="1353"/>
    </row>
    <row r="6" ht="12" thickBot="1">
      <c r="J6" s="123" t="s">
        <v>99</v>
      </c>
    </row>
    <row r="7" spans="1:10" ht="15" customHeight="1">
      <c r="A7" s="1356" t="s">
        <v>249</v>
      </c>
      <c r="B7" s="1369" t="s">
        <v>60</v>
      </c>
      <c r="C7" s="1350" t="s">
        <v>61</v>
      </c>
      <c r="D7" s="1350" t="s">
        <v>62</v>
      </c>
      <c r="E7" s="1350" t="s">
        <v>63</v>
      </c>
      <c r="F7" s="1359" t="s">
        <v>1275</v>
      </c>
      <c r="G7" s="1362" t="s">
        <v>1274</v>
      </c>
      <c r="H7" s="1363"/>
      <c r="I7" s="1363"/>
      <c r="J7" s="1364"/>
    </row>
    <row r="8" spans="1:10" ht="33.75" customHeight="1">
      <c r="A8" s="1357"/>
      <c r="B8" s="1370"/>
      <c r="C8" s="1351"/>
      <c r="D8" s="1351"/>
      <c r="E8" s="1351"/>
      <c r="F8" s="1360"/>
      <c r="G8" s="1365" t="s">
        <v>64</v>
      </c>
      <c r="H8" s="1366" t="s">
        <v>65</v>
      </c>
      <c r="I8" s="1367"/>
      <c r="J8" s="1368"/>
    </row>
    <row r="9" spans="1:10" ht="49.5" customHeight="1">
      <c r="A9" s="1358"/>
      <c r="B9" s="1371"/>
      <c r="C9" s="1352"/>
      <c r="D9" s="1352"/>
      <c r="E9" s="1352"/>
      <c r="F9" s="1361"/>
      <c r="G9" s="1352"/>
      <c r="H9" s="82" t="s">
        <v>66</v>
      </c>
      <c r="I9" s="82" t="s">
        <v>67</v>
      </c>
      <c r="J9" s="645" t="s">
        <v>68</v>
      </c>
    </row>
    <row r="10" spans="1:10" ht="11.25" customHeight="1">
      <c r="A10" s="141"/>
      <c r="B10" s="54">
        <v>1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646">
        <v>9</v>
      </c>
    </row>
    <row r="11" spans="1:10" ht="20.25" customHeight="1">
      <c r="A11" s="141"/>
      <c r="B11" s="142" t="s">
        <v>353</v>
      </c>
      <c r="C11" s="142" t="s">
        <v>353</v>
      </c>
      <c r="D11" s="142" t="s">
        <v>353</v>
      </c>
      <c r="E11" s="142" t="s">
        <v>353</v>
      </c>
      <c r="F11" s="142" t="s">
        <v>353</v>
      </c>
      <c r="G11" s="142" t="s">
        <v>353</v>
      </c>
      <c r="H11" s="142" t="s">
        <v>353</v>
      </c>
      <c r="I11" s="142" t="s">
        <v>353</v>
      </c>
      <c r="J11" s="143" t="s">
        <v>353</v>
      </c>
    </row>
    <row r="12" spans="1:10" ht="15">
      <c r="A12" s="141"/>
      <c r="B12" s="55"/>
      <c r="C12" s="56"/>
      <c r="D12" s="57"/>
      <c r="E12" s="57"/>
      <c r="F12" s="57"/>
      <c r="G12" s="57"/>
      <c r="H12" s="144"/>
      <c r="I12" s="79"/>
      <c r="J12" s="145"/>
    </row>
    <row r="13" spans="1:10" ht="11.25">
      <c r="A13" s="141"/>
      <c r="B13" s="58"/>
      <c r="C13" s="59"/>
      <c r="D13" s="60"/>
      <c r="E13" s="60"/>
      <c r="F13" s="60"/>
      <c r="G13" s="60"/>
      <c r="H13" s="80"/>
      <c r="I13" s="79"/>
      <c r="J13" s="145"/>
    </row>
    <row r="14" spans="1:10" ht="11.25">
      <c r="A14" s="141"/>
      <c r="B14" s="58"/>
      <c r="C14" s="61"/>
      <c r="D14" s="60"/>
      <c r="E14" s="60"/>
      <c r="F14" s="60"/>
      <c r="G14" s="60"/>
      <c r="H14" s="80"/>
      <c r="I14" s="79"/>
      <c r="J14" s="145"/>
    </row>
    <row r="15" spans="1:10" ht="11.25">
      <c r="A15" s="141"/>
      <c r="B15" s="55"/>
      <c r="C15" s="62"/>
      <c r="D15" s="57"/>
      <c r="E15" s="57"/>
      <c r="F15" s="57"/>
      <c r="G15" s="57"/>
      <c r="H15" s="80"/>
      <c r="I15" s="79"/>
      <c r="J15" s="145"/>
    </row>
    <row r="16" spans="1:10" ht="11.25">
      <c r="A16" s="141"/>
      <c r="B16" s="55"/>
      <c r="C16" s="56"/>
      <c r="D16" s="57"/>
      <c r="E16" s="57"/>
      <c r="F16" s="57"/>
      <c r="G16" s="57"/>
      <c r="H16" s="80"/>
      <c r="I16" s="79"/>
      <c r="J16" s="145"/>
    </row>
    <row r="17" spans="1:10" ht="15.75" thickBot="1">
      <c r="A17" s="146"/>
      <c r="B17" s="147"/>
      <c r="C17" s="148"/>
      <c r="D17" s="149"/>
      <c r="E17" s="149"/>
      <c r="F17" s="149"/>
      <c r="G17" s="149"/>
      <c r="H17" s="150"/>
      <c r="I17" s="151"/>
      <c r="J17" s="152"/>
    </row>
    <row r="19" spans="2:7" ht="15.75">
      <c r="B19" s="153" t="s">
        <v>349</v>
      </c>
      <c r="C19" s="154"/>
      <c r="D19" s="154"/>
      <c r="E19" s="154"/>
      <c r="F19" s="153" t="s">
        <v>350</v>
      </c>
      <c r="G19" s="155"/>
    </row>
    <row r="20" spans="2:7" ht="15.75">
      <c r="B20" s="156" t="s">
        <v>351</v>
      </c>
      <c r="C20" s="154"/>
      <c r="D20" s="154"/>
      <c r="E20" s="157"/>
      <c r="F20" s="157"/>
      <c r="G20" s="155"/>
    </row>
    <row r="21" spans="2:7" ht="15">
      <c r="B21" s="154"/>
      <c r="C21" s="154"/>
      <c r="D21" s="154"/>
      <c r="E21" s="154"/>
      <c r="F21" s="158"/>
      <c r="G21" s="155"/>
    </row>
    <row r="22" spans="2:7" ht="15.75">
      <c r="B22" s="153" t="s">
        <v>1459</v>
      </c>
      <c r="C22" s="154"/>
      <c r="D22" s="154"/>
      <c r="E22" s="154"/>
      <c r="F22" s="153" t="s">
        <v>1448</v>
      </c>
      <c r="G22" s="155"/>
    </row>
    <row r="23" spans="2:7" ht="15">
      <c r="B23" s="154"/>
      <c r="C23" s="154"/>
      <c r="D23" s="154"/>
      <c r="E23" s="154"/>
      <c r="F23" s="154"/>
      <c r="G23" s="155"/>
    </row>
    <row r="24" spans="2:7" ht="15.75">
      <c r="B24" s="153" t="s">
        <v>1112</v>
      </c>
      <c r="C24" s="154"/>
      <c r="D24" s="154"/>
      <c r="E24" s="154"/>
      <c r="F24" s="153" t="s">
        <v>352</v>
      </c>
      <c r="G24" s="155"/>
    </row>
  </sheetData>
  <sheetProtection/>
  <mergeCells count="11">
    <mergeCell ref="D7:D9"/>
    <mergeCell ref="E7:E9"/>
    <mergeCell ref="B4:J4"/>
    <mergeCell ref="I1:J1"/>
    <mergeCell ref="A7:A9"/>
    <mergeCell ref="F7:F9"/>
    <mergeCell ref="G7:J7"/>
    <mergeCell ref="G8:G9"/>
    <mergeCell ref="H8:J8"/>
    <mergeCell ref="B7:B9"/>
    <mergeCell ref="C7:C9"/>
  </mergeCells>
  <printOptions horizontalCentered="1"/>
  <pageMargins left="0.5118110236220472" right="0.3937007874015748" top="0.3937007874015748" bottom="0.3937007874015748" header="0.31496062992125984" footer="0.31496062992125984"/>
  <pageSetup fitToHeight="2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showZeros="0" view="pageBreakPreview" zoomScale="115" zoomScaleSheetLayoutView="115" zoomScalePageLayoutView="0" workbookViewId="0" topLeftCell="A1">
      <selection activeCell="E29" sqref="E29"/>
    </sheetView>
  </sheetViews>
  <sheetFormatPr defaultColWidth="9.00390625" defaultRowHeight="12.75"/>
  <cols>
    <col min="1" max="1" width="5.375" style="31" customWidth="1"/>
    <col min="2" max="2" width="29.75390625" style="53" customWidth="1"/>
    <col min="3" max="3" width="7.625" style="31" customWidth="1"/>
    <col min="4" max="4" width="15.75390625" style="31" customWidth="1"/>
    <col min="5" max="5" width="11.125" style="31" customWidth="1"/>
    <col min="6" max="6" width="11.375" style="31" customWidth="1"/>
    <col min="7" max="7" width="14.125" style="31" customWidth="1"/>
    <col min="8" max="16384" width="9.125" style="31" customWidth="1"/>
  </cols>
  <sheetData>
    <row r="1" ht="11.25">
      <c r="G1" s="84"/>
    </row>
    <row r="2" ht="7.5" customHeight="1"/>
    <row r="3" ht="10.5" customHeight="1"/>
    <row r="4" spans="2:7" ht="37.5" customHeight="1">
      <c r="B4" s="1373" t="s">
        <v>1245</v>
      </c>
      <c r="C4" s="1373"/>
      <c r="D4" s="1373"/>
      <c r="E4" s="1373"/>
      <c r="F4" s="1373"/>
      <c r="G4" s="1373"/>
    </row>
    <row r="6" spans="1:7" ht="15" customHeight="1">
      <c r="A6" s="1372" t="s">
        <v>249</v>
      </c>
      <c r="B6" s="1374" t="s">
        <v>70</v>
      </c>
      <c r="C6" s="1377" t="s">
        <v>1246</v>
      </c>
      <c r="D6" s="1377"/>
      <c r="E6" s="1377"/>
      <c r="F6" s="1377"/>
      <c r="G6" s="1377"/>
    </row>
    <row r="7" spans="1:7" ht="11.25">
      <c r="A7" s="1370"/>
      <c r="B7" s="1375"/>
      <c r="C7" s="1365" t="s">
        <v>69</v>
      </c>
      <c r="D7" s="1377" t="s">
        <v>71</v>
      </c>
      <c r="E7" s="1377"/>
      <c r="F7" s="1377"/>
      <c r="G7" s="1377"/>
    </row>
    <row r="8" spans="1:7" ht="33" customHeight="1">
      <c r="A8" s="1371"/>
      <c r="B8" s="1376"/>
      <c r="C8" s="1352"/>
      <c r="D8" s="83" t="s">
        <v>72</v>
      </c>
      <c r="E8" s="83" t="s">
        <v>73</v>
      </c>
      <c r="F8" s="83" t="s">
        <v>74</v>
      </c>
      <c r="G8" s="83" t="s">
        <v>75</v>
      </c>
    </row>
    <row r="9" spans="1:7" ht="17.25" customHeight="1">
      <c r="A9" s="865">
        <v>1</v>
      </c>
      <c r="B9" s="159" t="s">
        <v>354</v>
      </c>
      <c r="C9" s="160" t="s">
        <v>348</v>
      </c>
      <c r="D9" s="160" t="s">
        <v>348</v>
      </c>
      <c r="E9" s="160" t="s">
        <v>348</v>
      </c>
      <c r="F9" s="160" t="s">
        <v>348</v>
      </c>
      <c r="G9" s="54" t="s">
        <v>348</v>
      </c>
    </row>
    <row r="10" spans="1:7" ht="14.25">
      <c r="A10" s="79"/>
      <c r="B10" s="55"/>
      <c r="C10" s="94"/>
      <c r="D10" s="95"/>
      <c r="E10" s="95"/>
      <c r="F10" s="96"/>
      <c r="G10" s="79"/>
    </row>
    <row r="11" spans="1:7" ht="15">
      <c r="A11" s="79"/>
      <c r="B11" s="55"/>
      <c r="C11" s="97"/>
      <c r="D11" s="95"/>
      <c r="E11" s="95"/>
      <c r="F11" s="98"/>
      <c r="G11" s="79"/>
    </row>
    <row r="12" spans="1:7" ht="14.25">
      <c r="A12" s="79"/>
      <c r="B12" s="58" t="s">
        <v>69</v>
      </c>
      <c r="C12" s="94"/>
      <c r="D12" s="95"/>
      <c r="E12" s="95"/>
      <c r="F12" s="94"/>
      <c r="G12" s="79"/>
    </row>
    <row r="14" spans="2:5" ht="12.75">
      <c r="B14" s="161"/>
      <c r="C14" s="162"/>
      <c r="D14" s="162"/>
      <c r="E14" s="162"/>
    </row>
    <row r="15" spans="2:5" ht="12.75">
      <c r="B15" s="137" t="s">
        <v>349</v>
      </c>
      <c r="C15" s="163"/>
      <c r="D15" s="137" t="s">
        <v>350</v>
      </c>
      <c r="E15" s="162"/>
    </row>
    <row r="16" spans="2:5" ht="12.75">
      <c r="B16" s="138" t="s">
        <v>351</v>
      </c>
      <c r="C16" s="163"/>
      <c r="D16" s="164"/>
      <c r="E16" s="162"/>
    </row>
    <row r="17" spans="2:5" ht="12.75">
      <c r="B17" s="163"/>
      <c r="C17" s="163"/>
      <c r="D17" s="165"/>
      <c r="E17" s="162"/>
    </row>
    <row r="18" spans="2:5" ht="12.75">
      <c r="B18" s="137" t="s">
        <v>1459</v>
      </c>
      <c r="C18" s="163"/>
      <c r="D18" s="137" t="s">
        <v>1448</v>
      </c>
      <c r="E18" s="162"/>
    </row>
    <row r="19" spans="2:5" ht="12.75">
      <c r="B19" s="163"/>
      <c r="C19" s="163"/>
      <c r="D19" s="163"/>
      <c r="E19" s="162"/>
    </row>
    <row r="20" spans="2:5" ht="12.75">
      <c r="B20" s="137" t="s">
        <v>1112</v>
      </c>
      <c r="C20" s="163"/>
      <c r="D20" s="137" t="s">
        <v>352</v>
      </c>
      <c r="E20" s="162"/>
    </row>
    <row r="21" spans="2:5" ht="12.75">
      <c r="B21" s="161"/>
      <c r="C21" s="162"/>
      <c r="D21" s="162"/>
      <c r="E21" s="162"/>
    </row>
  </sheetData>
  <sheetProtection/>
  <mergeCells count="6">
    <mergeCell ref="A6:A8"/>
    <mergeCell ref="B4:G4"/>
    <mergeCell ref="B6:B8"/>
    <mergeCell ref="C6:G6"/>
    <mergeCell ref="D7:G7"/>
    <mergeCell ref="C7:C8"/>
  </mergeCells>
  <printOptions horizontalCentered="1"/>
  <pageMargins left="0.5118110236220472" right="0.3937007874015748" top="0.3937007874015748" bottom="0.3937007874015748" header="0.31496062992125984" footer="0.31496062992125984"/>
  <pageSetup fitToHeight="2" horizontalDpi="600" verticalDpi="600" orientation="landscape" paperSize="9" scale="11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92"/>
  <sheetViews>
    <sheetView zoomScalePageLayoutView="0" workbookViewId="0" topLeftCell="A4">
      <selection activeCell="E93" sqref="E93"/>
    </sheetView>
  </sheetViews>
  <sheetFormatPr defaultColWidth="9.00390625" defaultRowHeight="32.25" customHeight="1"/>
  <cols>
    <col min="1" max="1" width="5.75390625" style="0" customWidth="1"/>
    <col min="2" max="2" width="33.625" style="0" customWidth="1"/>
    <col min="3" max="3" width="11.375" style="0" customWidth="1"/>
    <col min="4" max="4" width="14.875" style="0" customWidth="1"/>
    <col min="5" max="5" width="9.75390625" style="0" customWidth="1"/>
    <col min="6" max="6" width="11.25390625" style="0" customWidth="1"/>
    <col min="7" max="7" width="10.375" style="0" customWidth="1"/>
    <col min="8" max="8" width="12.625" style="0" customWidth="1"/>
  </cols>
  <sheetData>
    <row r="1" spans="1:8" ht="32.25" customHeight="1">
      <c r="A1" s="153" t="s">
        <v>972</v>
      </c>
      <c r="B1" s="153"/>
      <c r="F1" s="322" t="s">
        <v>973</v>
      </c>
      <c r="G1" s="580"/>
      <c r="H1" s="580"/>
    </row>
    <row r="2" spans="1:8" ht="14.25" customHeight="1">
      <c r="A2" s="154" t="s">
        <v>974</v>
      </c>
      <c r="B2" s="154"/>
      <c r="E2" s="1320" t="s">
        <v>667</v>
      </c>
      <c r="F2" s="1320"/>
      <c r="G2" s="1320"/>
      <c r="H2" s="580"/>
    </row>
    <row r="3" spans="1:7" ht="15" customHeight="1">
      <c r="A3" s="154" t="s">
        <v>628</v>
      </c>
      <c r="B3" s="154"/>
      <c r="E3" s="1320" t="s">
        <v>975</v>
      </c>
      <c r="F3" s="1320"/>
      <c r="G3" s="1320"/>
    </row>
    <row r="4" spans="1:8" ht="24" customHeight="1">
      <c r="A4" s="154" t="s">
        <v>976</v>
      </c>
      <c r="B4" s="154"/>
      <c r="E4" s="1320" t="s">
        <v>977</v>
      </c>
      <c r="F4" s="1320"/>
      <c r="G4" s="1320"/>
      <c r="H4" s="1320"/>
    </row>
    <row r="5" spans="1:8" ht="15.75" customHeight="1">
      <c r="A5" s="154" t="s">
        <v>978</v>
      </c>
      <c r="B5" s="154"/>
      <c r="C5" t="s">
        <v>979</v>
      </c>
      <c r="E5" s="1320" t="s">
        <v>980</v>
      </c>
      <c r="F5" s="1320"/>
      <c r="G5" s="1320"/>
      <c r="H5" s="1320"/>
    </row>
    <row r="6" spans="1:8" ht="23.25" customHeight="1">
      <c r="A6" s="1387"/>
      <c r="B6" s="1387"/>
      <c r="C6" s="1387"/>
      <c r="D6" s="1387"/>
      <c r="E6" s="1387"/>
      <c r="F6" s="1387"/>
      <c r="G6" s="1387"/>
      <c r="H6" s="1387"/>
    </row>
    <row r="7" spans="1:8" ht="23.25" customHeight="1">
      <c r="A7" s="1389" t="s">
        <v>981</v>
      </c>
      <c r="B7" s="1389"/>
      <c r="C7" s="1389"/>
      <c r="D7" s="1389"/>
      <c r="E7" s="1389"/>
      <c r="F7" s="1389"/>
      <c r="G7" s="1389"/>
      <c r="H7" s="1389"/>
    </row>
    <row r="8" spans="1:8" ht="17.25" customHeight="1">
      <c r="A8" s="1390" t="s">
        <v>1431</v>
      </c>
      <c r="B8" s="1390"/>
      <c r="C8" s="1390"/>
      <c r="D8" s="1390"/>
      <c r="E8" s="1390"/>
      <c r="F8" s="1390"/>
      <c r="G8" s="1390"/>
      <c r="H8" s="1390"/>
    </row>
    <row r="9" spans="1:8" ht="15" customHeight="1" thickBot="1">
      <c r="A9" s="581"/>
      <c r="B9" s="581"/>
      <c r="C9" s="581"/>
      <c r="D9" s="581"/>
      <c r="E9" s="581"/>
      <c r="F9" s="581"/>
      <c r="G9" s="581"/>
      <c r="H9" s="581"/>
    </row>
    <row r="10" spans="1:8" ht="12.75">
      <c r="A10" s="1332" t="s">
        <v>249</v>
      </c>
      <c r="B10" s="1392" t="s">
        <v>325</v>
      </c>
      <c r="C10" s="1378" t="s">
        <v>326</v>
      </c>
      <c r="D10" s="1380" t="s">
        <v>982</v>
      </c>
      <c r="E10" s="1381"/>
      <c r="F10" s="1381"/>
      <c r="G10" s="1381"/>
      <c r="H10" s="1382"/>
    </row>
    <row r="11" spans="1:8" ht="12.75">
      <c r="A11" s="1333"/>
      <c r="B11" s="1393"/>
      <c r="C11" s="1379"/>
      <c r="D11" s="1383" t="s">
        <v>1434</v>
      </c>
      <c r="E11" s="1385" t="s">
        <v>692</v>
      </c>
      <c r="F11" s="1385"/>
      <c r="G11" s="1385"/>
      <c r="H11" s="1386"/>
    </row>
    <row r="12" spans="1:8" ht="38.25">
      <c r="A12" s="1391"/>
      <c r="B12" s="1393"/>
      <c r="C12" s="1379"/>
      <c r="D12" s="1384"/>
      <c r="E12" s="472" t="s">
        <v>1485</v>
      </c>
      <c r="F12" s="472" t="s">
        <v>1432</v>
      </c>
      <c r="G12" s="472" t="s">
        <v>1433</v>
      </c>
      <c r="H12" s="583" t="s">
        <v>1403</v>
      </c>
    </row>
    <row r="13" spans="1:8" ht="12.75">
      <c r="A13" s="440"/>
      <c r="B13" s="582"/>
      <c r="C13" s="584" t="s">
        <v>985</v>
      </c>
      <c r="D13" s="585" t="s">
        <v>986</v>
      </c>
      <c r="E13" s="585" t="s">
        <v>986</v>
      </c>
      <c r="F13" s="585" t="s">
        <v>986</v>
      </c>
      <c r="G13" s="585" t="s">
        <v>986</v>
      </c>
      <c r="H13" s="586" t="s">
        <v>986</v>
      </c>
    </row>
    <row r="14" spans="1:8" ht="25.5">
      <c r="A14" s="587" t="s">
        <v>562</v>
      </c>
      <c r="B14" s="588" t="s">
        <v>987</v>
      </c>
      <c r="C14" s="589">
        <v>17.49995625</v>
      </c>
      <c r="D14" s="591">
        <f>D26</f>
        <v>6730324</v>
      </c>
      <c r="E14" s="591">
        <f>E26</f>
        <v>1937287</v>
      </c>
      <c r="F14" s="591">
        <f>F26</f>
        <v>3747099</v>
      </c>
      <c r="G14" s="591">
        <f>G26</f>
        <v>5672433</v>
      </c>
      <c r="H14" s="1129">
        <f>H26</f>
        <v>6730324</v>
      </c>
    </row>
    <row r="15" spans="1:8" ht="12.75">
      <c r="A15" s="493"/>
      <c r="B15" s="592"/>
      <c r="C15" s="461"/>
      <c r="D15" s="520"/>
      <c r="E15" s="520"/>
      <c r="F15" s="520"/>
      <c r="G15" s="520"/>
      <c r="H15" s="593"/>
    </row>
    <row r="16" spans="1:8" ht="12.75">
      <c r="A16" s="493"/>
      <c r="B16" s="592" t="s">
        <v>988</v>
      </c>
      <c r="C16" s="461"/>
      <c r="D16" s="564">
        <v>4552130</v>
      </c>
      <c r="E16" s="564">
        <v>1353524</v>
      </c>
      <c r="F16" s="564">
        <f>E16+1251927</f>
        <v>2605451</v>
      </c>
      <c r="G16" s="564">
        <f>F16+1378891</f>
        <v>3984342</v>
      </c>
      <c r="H16" s="565">
        <v>4552130</v>
      </c>
    </row>
    <row r="17" spans="1:8" ht="12.75">
      <c r="A17" s="493"/>
      <c r="B17" s="592" t="s">
        <v>989</v>
      </c>
      <c r="C17" s="461"/>
      <c r="D17" s="564">
        <v>401187</v>
      </c>
      <c r="E17" s="564">
        <v>119288</v>
      </c>
      <c r="F17" s="564">
        <f>E17+110334</f>
        <v>229622</v>
      </c>
      <c r="G17" s="564">
        <f>F17+121524</f>
        <v>351146</v>
      </c>
      <c r="H17" s="565">
        <v>401187</v>
      </c>
    </row>
    <row r="18" spans="1:8" ht="12.75">
      <c r="A18" s="493"/>
      <c r="B18" s="592" t="s">
        <v>990</v>
      </c>
      <c r="C18" s="461"/>
      <c r="D18" s="594"/>
      <c r="E18" s="594"/>
      <c r="F18" s="564"/>
      <c r="G18" s="564"/>
      <c r="H18" s="565"/>
    </row>
    <row r="19" spans="1:8" ht="12.75">
      <c r="A19" s="493"/>
      <c r="B19" s="592" t="s">
        <v>991</v>
      </c>
      <c r="C19" s="461"/>
      <c r="D19" s="594"/>
      <c r="E19" s="594"/>
      <c r="F19" s="564"/>
      <c r="G19" s="564"/>
      <c r="H19" s="565"/>
    </row>
    <row r="20" spans="1:8" ht="12.75">
      <c r="A20" s="493"/>
      <c r="B20" s="592" t="s">
        <v>992</v>
      </c>
      <c r="C20" s="461"/>
      <c r="D20" s="594"/>
      <c r="E20" s="594"/>
      <c r="F20" s="564"/>
      <c r="G20" s="564"/>
      <c r="H20" s="565"/>
    </row>
    <row r="21" spans="1:8" ht="12.75">
      <c r="A21" s="493"/>
      <c r="B21" s="592" t="s">
        <v>993</v>
      </c>
      <c r="C21" s="461"/>
      <c r="D21" s="564">
        <v>360763</v>
      </c>
      <c r="E21" s="564">
        <v>107704</v>
      </c>
      <c r="F21" s="564">
        <v>204039</v>
      </c>
      <c r="G21" s="564">
        <v>288776</v>
      </c>
      <c r="H21" s="565">
        <v>360763</v>
      </c>
    </row>
    <row r="22" spans="1:8" ht="12.75">
      <c r="A22" s="493"/>
      <c r="B22" s="592" t="s">
        <v>994</v>
      </c>
      <c r="C22" s="461"/>
      <c r="D22" s="594"/>
      <c r="E22" s="594"/>
      <c r="F22" s="564"/>
      <c r="G22" s="564"/>
      <c r="H22" s="565">
        <v>0</v>
      </c>
    </row>
    <row r="23" spans="1:8" ht="12.75">
      <c r="A23" s="493"/>
      <c r="B23" s="461" t="s">
        <v>995</v>
      </c>
      <c r="C23" s="461"/>
      <c r="D23" s="525">
        <f>SUM(D16:D22)</f>
        <v>5314080</v>
      </c>
      <c r="E23" s="525">
        <f>SUM(E16:E22)</f>
        <v>1580516</v>
      </c>
      <c r="F23" s="525">
        <f>SUM(F16:F22)</f>
        <v>3039112</v>
      </c>
      <c r="G23" s="525">
        <f>SUM(G16:G22)</f>
        <v>4624264</v>
      </c>
      <c r="H23" s="526">
        <f>SUM(H16:H22)</f>
        <v>5314080</v>
      </c>
    </row>
    <row r="24" spans="1:8" ht="38.25">
      <c r="A24" s="493"/>
      <c r="B24" s="595" t="s">
        <v>996</v>
      </c>
      <c r="C24" s="461"/>
      <c r="D24" s="594">
        <v>1416244</v>
      </c>
      <c r="E24" s="594">
        <v>356771</v>
      </c>
      <c r="F24" s="564">
        <f>E24+351216</f>
        <v>707987</v>
      </c>
      <c r="G24" s="564">
        <f>F24+340182</f>
        <v>1048169</v>
      </c>
      <c r="H24" s="565">
        <v>1416244</v>
      </c>
    </row>
    <row r="25" spans="1:8" ht="12.75">
      <c r="A25" s="493"/>
      <c r="B25" s="592" t="s">
        <v>997</v>
      </c>
      <c r="C25" s="461"/>
      <c r="D25" s="594"/>
      <c r="E25" s="594"/>
      <c r="F25" s="564"/>
      <c r="G25" s="564"/>
      <c r="H25" s="565"/>
    </row>
    <row r="26" spans="1:8" ht="12.75">
      <c r="A26" s="493"/>
      <c r="B26" s="592" t="s">
        <v>998</v>
      </c>
      <c r="C26" s="461"/>
      <c r="D26" s="525">
        <f>SUM(D23:D25)</f>
        <v>6730324</v>
      </c>
      <c r="E26" s="525">
        <f>SUM(E23:E25)</f>
        <v>1937287</v>
      </c>
      <c r="F26" s="525">
        <f>SUM(F23:F25)</f>
        <v>3747099</v>
      </c>
      <c r="G26" s="525">
        <f>SUM(G23:G25)</f>
        <v>5672433</v>
      </c>
      <c r="H26" s="526">
        <f>SUM(H23:H25)</f>
        <v>6730324</v>
      </c>
    </row>
    <row r="27" spans="1:8" ht="25.5">
      <c r="A27" s="587" t="s">
        <v>563</v>
      </c>
      <c r="B27" s="588" t="s">
        <v>999</v>
      </c>
      <c r="C27" s="589">
        <v>17.49995625</v>
      </c>
      <c r="D27" s="589">
        <f>D29/D35</f>
        <v>0.911998396946505</v>
      </c>
      <c r="E27" s="589">
        <f>E29/E35</f>
        <v>0.8939538821637838</v>
      </c>
      <c r="F27" s="589">
        <f>F29/F35</f>
        <v>0.8975438875289214</v>
      </c>
      <c r="G27" s="589">
        <f>G29/G35</f>
        <v>0.8946940575285068</v>
      </c>
      <c r="H27" s="603">
        <f>H29/H35</f>
        <v>0.8716173632050639</v>
      </c>
    </row>
    <row r="28" spans="1:8" ht="12.75">
      <c r="A28" s="493"/>
      <c r="B28" s="592" t="s">
        <v>1000</v>
      </c>
      <c r="C28" s="461"/>
      <c r="D28" s="520"/>
      <c r="E28" s="520"/>
      <c r="F28" s="520"/>
      <c r="G28" s="520"/>
      <c r="H28" s="593"/>
    </row>
    <row r="29" spans="1:8" ht="12.75">
      <c r="A29" s="379"/>
      <c r="B29" s="592" t="s">
        <v>1001</v>
      </c>
      <c r="C29" s="461"/>
      <c r="D29" s="525">
        <f>D30+D31</f>
        <v>54624776</v>
      </c>
      <c r="E29" s="525">
        <f>E30+E31</f>
        <v>13388421</v>
      </c>
      <c r="F29" s="525">
        <f>F30+F31</f>
        <v>26680938</v>
      </c>
      <c r="G29" s="525">
        <f>G30+G31</f>
        <v>39428276</v>
      </c>
      <c r="H29" s="526">
        <f>H30+H31</f>
        <v>52206126</v>
      </c>
    </row>
    <row r="30" spans="1:8" ht="12.75">
      <c r="A30" s="379"/>
      <c r="B30" s="592" t="s">
        <v>1002</v>
      </c>
      <c r="C30" s="461"/>
      <c r="D30" s="521">
        <v>45336656</v>
      </c>
      <c r="E30" s="520">
        <v>11095642</v>
      </c>
      <c r="F30" s="520">
        <f>E30+10965965</f>
        <v>22061607</v>
      </c>
      <c r="G30" s="594">
        <f>F30+10497199</f>
        <v>32558806</v>
      </c>
      <c r="H30" s="598">
        <f>G30+12777850</f>
        <v>45336656</v>
      </c>
    </row>
    <row r="31" spans="1:8" ht="12.75">
      <c r="A31" s="379"/>
      <c r="B31" s="599" t="s">
        <v>1003</v>
      </c>
      <c r="C31" s="461"/>
      <c r="D31" s="520">
        <f>D32+D33+D34</f>
        <v>9288120</v>
      </c>
      <c r="E31" s="520">
        <f>E32+E33+E34</f>
        <v>2292779</v>
      </c>
      <c r="F31" s="520">
        <f>F32+F33+F34</f>
        <v>4619331</v>
      </c>
      <c r="G31" s="520">
        <f>G32+G33+G34</f>
        <v>6869470</v>
      </c>
      <c r="H31" s="593">
        <f>G31</f>
        <v>6869470</v>
      </c>
    </row>
    <row r="32" spans="1:8" ht="12.75">
      <c r="A32" s="379"/>
      <c r="B32" s="592" t="s">
        <v>1004</v>
      </c>
      <c r="C32" s="461"/>
      <c r="D32" s="520">
        <v>147788</v>
      </c>
      <c r="E32" s="521">
        <v>37197</v>
      </c>
      <c r="F32" s="520">
        <v>74394</v>
      </c>
      <c r="G32" s="594">
        <v>111591</v>
      </c>
      <c r="H32" s="598">
        <v>148788</v>
      </c>
    </row>
    <row r="33" spans="1:8" ht="12.75">
      <c r="A33" s="379"/>
      <c r="B33" s="592" t="s">
        <v>1005</v>
      </c>
      <c r="C33" s="461"/>
      <c r="D33" s="520">
        <v>2930448</v>
      </c>
      <c r="E33" s="521">
        <v>732612</v>
      </c>
      <c r="F33" s="520">
        <v>1465224</v>
      </c>
      <c r="G33" s="594">
        <v>2197836</v>
      </c>
      <c r="H33" s="598">
        <v>2930448</v>
      </c>
    </row>
    <row r="34" spans="1:8" ht="12.75">
      <c r="A34" s="379"/>
      <c r="B34" s="592" t="s">
        <v>837</v>
      </c>
      <c r="C34" s="461"/>
      <c r="D34" s="520">
        <v>6209884</v>
      </c>
      <c r="E34" s="520">
        <v>1522970</v>
      </c>
      <c r="F34" s="520">
        <f>E34+1556743</f>
        <v>3079713</v>
      </c>
      <c r="G34" s="594">
        <f>F34+1480330</f>
        <v>4560043</v>
      </c>
      <c r="H34" s="598">
        <f>G34+1649841</f>
        <v>6209884</v>
      </c>
    </row>
    <row r="35" spans="1:8" ht="12.75">
      <c r="A35" s="379"/>
      <c r="B35" s="592" t="s">
        <v>1006</v>
      </c>
      <c r="C35" s="461"/>
      <c r="D35" s="524">
        <v>59895693</v>
      </c>
      <c r="E35" s="524">
        <v>14976635</v>
      </c>
      <c r="F35" s="524">
        <f>E35+14749976</f>
        <v>29726611</v>
      </c>
      <c r="G35" s="524">
        <f>F35+14342393</f>
        <v>44069004</v>
      </c>
      <c r="H35" s="597">
        <f>G35+15826688+1</f>
        <v>59895693</v>
      </c>
    </row>
    <row r="36" spans="1:8" ht="25.5">
      <c r="A36" s="454" t="s">
        <v>564</v>
      </c>
      <c r="B36" s="588" t="s">
        <v>1007</v>
      </c>
      <c r="C36" s="590"/>
      <c r="D36" s="600"/>
      <c r="E36" s="600"/>
      <c r="F36" s="600"/>
      <c r="G36" s="600"/>
      <c r="H36" s="601"/>
    </row>
    <row r="37" spans="1:8" ht="25.5">
      <c r="A37" s="379"/>
      <c r="B37" s="602" t="s">
        <v>1008</v>
      </c>
      <c r="C37" s="589">
        <v>14.999962499999999</v>
      </c>
      <c r="D37" s="589">
        <v>2.002416987385522</v>
      </c>
      <c r="E37" s="589">
        <v>2.17163739718755</v>
      </c>
      <c r="F37" s="589">
        <v>2.1772979983958276</v>
      </c>
      <c r="G37" s="589">
        <v>2.1765221157437042</v>
      </c>
      <c r="H37" s="603">
        <v>2.002416987385522</v>
      </c>
    </row>
    <row r="38" spans="1:8" ht="12.75">
      <c r="A38" s="379"/>
      <c r="B38" s="592" t="s">
        <v>1009</v>
      </c>
      <c r="C38" s="461"/>
      <c r="D38" s="564">
        <v>4552130</v>
      </c>
      <c r="E38" s="564">
        <v>1353524</v>
      </c>
      <c r="F38" s="564">
        <f>E38+1251927</f>
        <v>2605451</v>
      </c>
      <c r="G38" s="564">
        <f>F38+1378891</f>
        <v>3984342</v>
      </c>
      <c r="H38" s="565">
        <v>4552130</v>
      </c>
    </row>
    <row r="39" spans="1:8" ht="12.75">
      <c r="A39" s="379"/>
      <c r="B39" s="599" t="s">
        <v>1010</v>
      </c>
      <c r="C39" s="461"/>
      <c r="D39" s="520">
        <v>1650000</v>
      </c>
      <c r="E39" s="520">
        <v>2910000</v>
      </c>
      <c r="F39" s="521">
        <v>2490000</v>
      </c>
      <c r="G39" s="521">
        <v>2070000</v>
      </c>
      <c r="H39" s="522">
        <v>1650000</v>
      </c>
    </row>
    <row r="40" spans="1:8" ht="25.5">
      <c r="A40" s="454" t="s">
        <v>565</v>
      </c>
      <c r="B40" s="588" t="s">
        <v>1011</v>
      </c>
      <c r="C40" s="590"/>
      <c r="D40" s="600"/>
      <c r="E40" s="600"/>
      <c r="F40" s="600"/>
      <c r="G40" s="600"/>
      <c r="H40" s="601"/>
    </row>
    <row r="41" spans="1:8" ht="25.5">
      <c r="A41" s="379"/>
      <c r="B41" s="602" t="s">
        <v>1012</v>
      </c>
      <c r="C41" s="589">
        <v>5</v>
      </c>
      <c r="D41" s="604">
        <f>D42/D43</f>
        <v>0.9513587824292896</v>
      </c>
      <c r="E41" s="600"/>
      <c r="F41" s="600"/>
      <c r="G41" s="600"/>
      <c r="H41" s="601"/>
    </row>
    <row r="42" spans="1:8" ht="12.75">
      <c r="A42" s="379"/>
      <c r="B42" s="592" t="s">
        <v>1009</v>
      </c>
      <c r="C42" s="461"/>
      <c r="D42" s="564">
        <v>4552130</v>
      </c>
      <c r="E42" s="520"/>
      <c r="F42" s="520"/>
      <c r="G42" s="520"/>
      <c r="H42" s="593"/>
    </row>
    <row r="43" spans="1:8" ht="25.5">
      <c r="A43" s="379"/>
      <c r="B43" s="545" t="s">
        <v>1013</v>
      </c>
      <c r="C43" s="524"/>
      <c r="D43" s="520">
        <v>4784872</v>
      </c>
      <c r="E43" s="520"/>
      <c r="F43" s="520"/>
      <c r="G43" s="520"/>
      <c r="H43" s="593"/>
    </row>
    <row r="44" spans="1:8" ht="25.5">
      <c r="A44" s="587" t="s">
        <v>1014</v>
      </c>
      <c r="B44" s="588" t="s">
        <v>1015</v>
      </c>
      <c r="C44" s="589">
        <v>5</v>
      </c>
      <c r="D44" s="589">
        <f>(D46-D47+D48)/D46</f>
        <v>0.4626865671641791</v>
      </c>
      <c r="E44" s="600"/>
      <c r="F44" s="600"/>
      <c r="G44" s="600"/>
      <c r="H44" s="601"/>
    </row>
    <row r="45" spans="1:8" ht="63.75">
      <c r="A45" s="498"/>
      <c r="B45" s="545" t="s">
        <v>1437</v>
      </c>
      <c r="C45" s="606"/>
      <c r="D45" s="606"/>
      <c r="E45" s="520"/>
      <c r="F45" s="520"/>
      <c r="G45" s="520"/>
      <c r="H45" s="593"/>
    </row>
    <row r="46" spans="1:8" ht="12.75">
      <c r="A46" s="498"/>
      <c r="B46" s="520" t="s">
        <v>1016</v>
      </c>
      <c r="C46" s="524"/>
      <c r="D46" s="520">
        <v>3350</v>
      </c>
      <c r="E46" s="520"/>
      <c r="F46" s="520"/>
      <c r="G46" s="520"/>
      <c r="H46" s="593"/>
    </row>
    <row r="47" spans="1:8" ht="12.75">
      <c r="A47" s="498"/>
      <c r="B47" s="520" t="s">
        <v>1017</v>
      </c>
      <c r="C47" s="524"/>
      <c r="D47" s="520">
        <v>3350</v>
      </c>
      <c r="E47" s="520"/>
      <c r="F47" s="520"/>
      <c r="G47" s="520"/>
      <c r="H47" s="593"/>
    </row>
    <row r="48" spans="1:8" ht="12.75">
      <c r="A48" s="498"/>
      <c r="B48" s="520" t="s">
        <v>1018</v>
      </c>
      <c r="C48" s="524"/>
      <c r="D48" s="520">
        <v>1550</v>
      </c>
      <c r="E48" s="520"/>
      <c r="F48" s="520"/>
      <c r="G48" s="520"/>
      <c r="H48" s="593"/>
    </row>
    <row r="49" spans="1:8" ht="12.75">
      <c r="A49" s="454" t="s">
        <v>1019</v>
      </c>
      <c r="B49" s="590" t="s">
        <v>327</v>
      </c>
      <c r="C49" s="590"/>
      <c r="D49" s="600"/>
      <c r="E49" s="600"/>
      <c r="F49" s="600"/>
      <c r="G49" s="600"/>
      <c r="H49" s="601"/>
    </row>
    <row r="50" spans="1:8" ht="12.75">
      <c r="A50" s="379"/>
      <c r="B50" s="600" t="s">
        <v>1020</v>
      </c>
      <c r="C50" s="589">
        <v>4.9999875</v>
      </c>
      <c r="D50" s="604">
        <f>D51/D52</f>
        <v>0.2757505674143043</v>
      </c>
      <c r="E50" s="604">
        <f>E51/E52</f>
        <v>0.0824050646388672</v>
      </c>
      <c r="F50" s="604">
        <f>F51/F52</f>
        <v>0.15514241009050922</v>
      </c>
      <c r="G50" s="604">
        <f>G51/G52</f>
        <v>0.24267150584111172</v>
      </c>
      <c r="H50" s="607">
        <f>H51/H52</f>
        <v>0.2757505674143043</v>
      </c>
    </row>
    <row r="51" spans="1:8" ht="63.75">
      <c r="A51" s="379"/>
      <c r="B51" s="595" t="s">
        <v>1484</v>
      </c>
      <c r="C51" s="461"/>
      <c r="D51" s="521">
        <v>5349154</v>
      </c>
      <c r="E51" s="521">
        <v>1590510</v>
      </c>
      <c r="F51" s="521">
        <f>E51+1471124</f>
        <v>3061634</v>
      </c>
      <c r="G51" s="521">
        <f>F51+1620318</f>
        <v>4681952</v>
      </c>
      <c r="H51" s="522">
        <f>G51+667202</f>
        <v>5349154</v>
      </c>
    </row>
    <row r="52" spans="1:8" ht="127.5">
      <c r="A52" s="379"/>
      <c r="B52" s="595" t="s">
        <v>1021</v>
      </c>
      <c r="C52" s="461"/>
      <c r="D52" s="520">
        <f>H52</f>
        <v>19398524</v>
      </c>
      <c r="E52" s="520">
        <f>(19021116+19581123)/2</f>
        <v>19301119.5</v>
      </c>
      <c r="F52" s="520">
        <f>(19021116+20447576)/2</f>
        <v>19734346</v>
      </c>
      <c r="G52" s="520">
        <f>(19021116+19565631)/2</f>
        <v>19293373.5</v>
      </c>
      <c r="H52" s="593">
        <f>(19021116+19775932)/2</f>
        <v>19398524</v>
      </c>
    </row>
    <row r="53" spans="1:8" ht="25.5">
      <c r="A53" s="454" t="s">
        <v>1022</v>
      </c>
      <c r="B53" s="588" t="s">
        <v>1023</v>
      </c>
      <c r="C53" s="590"/>
      <c r="D53" s="600"/>
      <c r="E53" s="600"/>
      <c r="F53" s="600"/>
      <c r="G53" s="600"/>
      <c r="H53" s="601"/>
    </row>
    <row r="54" spans="1:8" ht="63.75">
      <c r="A54" s="379"/>
      <c r="B54" s="602" t="s">
        <v>1024</v>
      </c>
      <c r="C54" s="589">
        <v>4.9999875</v>
      </c>
      <c r="D54" s="604">
        <f>D55/D56</f>
        <v>2.702570022889961</v>
      </c>
      <c r="E54" s="604">
        <f>E55/E56</f>
        <v>7.175029664316317</v>
      </c>
      <c r="F54" s="604">
        <f>F55/F56</f>
        <v>7.088554513207661</v>
      </c>
      <c r="G54" s="604">
        <f>G55/G56</f>
        <v>4.705987290091928</v>
      </c>
      <c r="H54" s="607">
        <f>H55/H56</f>
        <v>2.702570022889961</v>
      </c>
    </row>
    <row r="55" spans="1:8" ht="38.25">
      <c r="A55" s="379"/>
      <c r="B55" s="595" t="s">
        <v>1025</v>
      </c>
      <c r="C55" s="461"/>
      <c r="D55" s="520">
        <f>H55</f>
        <v>3525508</v>
      </c>
      <c r="E55" s="520">
        <v>5980337</v>
      </c>
      <c r="F55" s="520">
        <v>6153000</v>
      </c>
      <c r="G55" s="520">
        <v>5840502</v>
      </c>
      <c r="H55" s="593">
        <v>3525508</v>
      </c>
    </row>
    <row r="56" spans="1:8" ht="25.5">
      <c r="A56" s="379"/>
      <c r="B56" s="595" t="s">
        <v>1026</v>
      </c>
      <c r="C56" s="461"/>
      <c r="D56" s="520">
        <v>1304502</v>
      </c>
      <c r="E56" s="520">
        <v>833493</v>
      </c>
      <c r="F56" s="520">
        <v>868019</v>
      </c>
      <c r="G56" s="520">
        <v>1241079</v>
      </c>
      <c r="H56" s="593">
        <v>1304502</v>
      </c>
    </row>
    <row r="57" spans="1:8" ht="25.5">
      <c r="A57" s="454" t="s">
        <v>1027</v>
      </c>
      <c r="B57" s="602" t="s">
        <v>309</v>
      </c>
      <c r="C57" s="590"/>
      <c r="D57" s="600"/>
      <c r="E57" s="600"/>
      <c r="F57" s="600"/>
      <c r="G57" s="600"/>
      <c r="H57" s="601"/>
    </row>
    <row r="58" spans="1:8" ht="12.75">
      <c r="A58" s="379"/>
      <c r="B58" s="600" t="s">
        <v>1028</v>
      </c>
      <c r="C58" s="589">
        <v>5</v>
      </c>
      <c r="D58" s="609">
        <f>D59/((D60-D61))</f>
        <v>8.593911409516666</v>
      </c>
      <c r="E58" s="609">
        <f>E59/((E60-E61))</f>
        <v>19.00151530966667</v>
      </c>
      <c r="F58" s="609">
        <f>F59/((F60-F61))</f>
        <v>19.687998765003993</v>
      </c>
      <c r="G58" s="609">
        <f>G59/((G60-G61))</f>
        <v>13.097113076605115</v>
      </c>
      <c r="H58" s="610">
        <f>H59/((H60-H61))</f>
        <v>12.894905488837885</v>
      </c>
    </row>
    <row r="59" spans="1:8" ht="38.25">
      <c r="A59" s="379"/>
      <c r="B59" s="595" t="s">
        <v>1029</v>
      </c>
      <c r="C59" s="461"/>
      <c r="D59" s="520">
        <f>H59</f>
        <v>16821430</v>
      </c>
      <c r="E59" s="520">
        <v>15837630</v>
      </c>
      <c r="F59" s="520">
        <v>17089557</v>
      </c>
      <c r="G59" s="520">
        <v>16254552</v>
      </c>
      <c r="H59" s="593">
        <v>16821430</v>
      </c>
    </row>
    <row r="60" spans="1:8" ht="25.5">
      <c r="A60" s="379"/>
      <c r="B60" s="595" t="s">
        <v>1030</v>
      </c>
      <c r="C60" s="461"/>
      <c r="D60" s="520">
        <v>3607366</v>
      </c>
      <c r="E60" s="520">
        <v>3743493</v>
      </c>
      <c r="F60" s="520">
        <v>3358019</v>
      </c>
      <c r="G60" s="520">
        <v>3311079</v>
      </c>
      <c r="H60" s="593">
        <v>2954502</v>
      </c>
    </row>
    <row r="61" spans="1:8" ht="25.5">
      <c r="A61" s="379"/>
      <c r="B61" s="595" t="s">
        <v>1031</v>
      </c>
      <c r="C61" s="461"/>
      <c r="D61" s="520">
        <v>1650000</v>
      </c>
      <c r="E61" s="520">
        <v>2910000</v>
      </c>
      <c r="F61" s="520">
        <v>2490000</v>
      </c>
      <c r="G61" s="520">
        <v>2070000</v>
      </c>
      <c r="H61" s="593">
        <v>1650000</v>
      </c>
    </row>
    <row r="62" spans="1:8" ht="25.5">
      <c r="A62" s="454" t="s">
        <v>1032</v>
      </c>
      <c r="B62" s="588" t="s">
        <v>328</v>
      </c>
      <c r="C62" s="590"/>
      <c r="D62" s="600"/>
      <c r="E62" s="600"/>
      <c r="F62" s="600"/>
      <c r="G62" s="600"/>
      <c r="H62" s="601"/>
    </row>
    <row r="63" spans="1:8" ht="12.75">
      <c r="A63" s="379"/>
      <c r="B63" s="602" t="s">
        <v>1033</v>
      </c>
      <c r="C63" s="589">
        <v>4.9999875</v>
      </c>
      <c r="D63" s="611">
        <f>D65/(D64/D66)</f>
        <v>7.949540378470953</v>
      </c>
      <c r="E63" s="611">
        <f>E65/(E64/E66)</f>
        <v>5.0644128671093345</v>
      </c>
      <c r="F63" s="611">
        <f>F65/(F64/F66)</f>
        <v>5.285211926781697</v>
      </c>
      <c r="G63" s="611">
        <f>G65/(G64/G66)</f>
        <v>7.68827375812714</v>
      </c>
      <c r="H63" s="612">
        <f>H65/(H64/H66)</f>
        <v>7.949540378470953</v>
      </c>
    </row>
    <row r="64" spans="1:8" ht="51">
      <c r="A64" s="379"/>
      <c r="B64" s="595" t="s">
        <v>1034</v>
      </c>
      <c r="C64" s="461"/>
      <c r="D64" s="524">
        <v>59895693</v>
      </c>
      <c r="E64" s="524">
        <v>14976635</v>
      </c>
      <c r="F64" s="524">
        <f>E64+14749976</f>
        <v>29726611</v>
      </c>
      <c r="G64" s="524">
        <f>F64+14342393</f>
        <v>44069004</v>
      </c>
      <c r="H64" s="597">
        <f>G64+15826688+1</f>
        <v>59895693</v>
      </c>
    </row>
    <row r="65" spans="1:8" ht="25.5">
      <c r="A65" s="379"/>
      <c r="B65" s="595" t="s">
        <v>1035</v>
      </c>
      <c r="C65" s="461"/>
      <c r="D65" s="520">
        <v>365</v>
      </c>
      <c r="E65" s="520">
        <v>91</v>
      </c>
      <c r="F65" s="520">
        <v>181</v>
      </c>
      <c r="G65" s="520">
        <v>273</v>
      </c>
      <c r="H65" s="593">
        <v>365</v>
      </c>
    </row>
    <row r="66" spans="1:8" ht="89.25">
      <c r="A66" s="379"/>
      <c r="B66" s="595" t="s">
        <v>1036</v>
      </c>
      <c r="C66" s="461"/>
      <c r="D66" s="520">
        <f>H66</f>
        <v>1304502</v>
      </c>
      <c r="E66" s="520">
        <v>833493</v>
      </c>
      <c r="F66" s="520">
        <v>868019</v>
      </c>
      <c r="G66" s="520">
        <v>1241079</v>
      </c>
      <c r="H66" s="593">
        <v>1304502</v>
      </c>
    </row>
    <row r="67" spans="1:8" ht="25.5">
      <c r="A67" s="454" t="s">
        <v>1037</v>
      </c>
      <c r="B67" s="588" t="s">
        <v>329</v>
      </c>
      <c r="C67" s="590"/>
      <c r="D67" s="600"/>
      <c r="E67" s="600"/>
      <c r="F67" s="600"/>
      <c r="G67" s="600"/>
      <c r="H67" s="601"/>
    </row>
    <row r="68" spans="1:8" ht="12.75">
      <c r="A68" s="454"/>
      <c r="B68" s="602" t="s">
        <v>1038</v>
      </c>
      <c r="C68" s="589">
        <v>5</v>
      </c>
      <c r="D68" s="611">
        <f>D70/(D69/D71)</f>
        <v>10.118795687028783</v>
      </c>
      <c r="E68" s="611">
        <f>E70/(E69/E71)</f>
        <v>13.233194105351437</v>
      </c>
      <c r="F68" s="611">
        <f>F70/(F69/F71)</f>
        <v>14.494900074549365</v>
      </c>
      <c r="G68" s="611">
        <f>G70/(G69/G71)</f>
        <v>10.605760048491225</v>
      </c>
      <c r="H68" s="612">
        <f>H70/(H69/H71)</f>
        <v>10.118795687028783</v>
      </c>
    </row>
    <row r="69" spans="1:8" ht="51">
      <c r="A69" s="454"/>
      <c r="B69" s="595" t="s">
        <v>1034</v>
      </c>
      <c r="C69" s="461"/>
      <c r="D69" s="524">
        <v>59895693</v>
      </c>
      <c r="E69" s="524">
        <v>14976635</v>
      </c>
      <c r="F69" s="524">
        <f>E69+14749976</f>
        <v>29726611</v>
      </c>
      <c r="G69" s="524">
        <f>F69+14342393</f>
        <v>44069004</v>
      </c>
      <c r="H69" s="597">
        <f>G69+15826688+1</f>
        <v>59895693</v>
      </c>
    </row>
    <row r="70" spans="1:8" ht="25.5">
      <c r="A70" s="454"/>
      <c r="B70" s="595" t="s">
        <v>1035</v>
      </c>
      <c r="C70" s="461"/>
      <c r="D70" s="520">
        <v>365</v>
      </c>
      <c r="E70" s="520">
        <v>91</v>
      </c>
      <c r="F70" s="520">
        <v>181</v>
      </c>
      <c r="G70" s="520">
        <v>273</v>
      </c>
      <c r="H70" s="593">
        <v>365</v>
      </c>
    </row>
    <row r="71" spans="1:8" ht="89.25">
      <c r="A71" s="454"/>
      <c r="B71" s="595" t="s">
        <v>1039</v>
      </c>
      <c r="C71" s="461"/>
      <c r="D71" s="520">
        <f>H71</f>
        <v>1660472</v>
      </c>
      <c r="E71" s="520">
        <v>2177898</v>
      </c>
      <c r="F71" s="520">
        <v>2380576</v>
      </c>
      <c r="G71" s="520">
        <v>1712034</v>
      </c>
      <c r="H71" s="593">
        <v>1660472</v>
      </c>
    </row>
    <row r="72" spans="1:8" ht="25.5">
      <c r="A72" s="454" t="s">
        <v>1040</v>
      </c>
      <c r="B72" s="602" t="s">
        <v>330</v>
      </c>
      <c r="C72" s="590"/>
      <c r="D72" s="600"/>
      <c r="E72" s="600"/>
      <c r="F72" s="600"/>
      <c r="G72" s="600"/>
      <c r="H72" s="601"/>
    </row>
    <row r="73" spans="1:8" ht="12.75">
      <c r="A73" s="379"/>
      <c r="B73" s="602" t="s">
        <v>1041</v>
      </c>
      <c r="C73" s="589">
        <v>5</v>
      </c>
      <c r="D73" s="604">
        <f>D74/(D75-D76)</f>
        <v>5.130317163177979</v>
      </c>
      <c r="E73" s="604">
        <f>E74/(E75-E76)</f>
        <v>11.831337515731986</v>
      </c>
      <c r="F73" s="604">
        <f>F74/(F75-F76)</f>
        <v>12.003157764979798</v>
      </c>
      <c r="G73" s="604">
        <f>G74/(G75-G76)</f>
        <v>7.45604107393647</v>
      </c>
      <c r="H73" s="607">
        <f>H74/(H75-H76)</f>
        <v>5.130317163177979</v>
      </c>
    </row>
    <row r="74" spans="1:8" ht="25.5">
      <c r="A74" s="379"/>
      <c r="B74" s="595" t="s">
        <v>1042</v>
      </c>
      <c r="C74" s="461"/>
      <c r="D74" s="520">
        <f>H74</f>
        <v>6692509</v>
      </c>
      <c r="E74" s="520">
        <v>9861337</v>
      </c>
      <c r="F74" s="520">
        <v>10418969</v>
      </c>
      <c r="G74" s="520">
        <v>9253536</v>
      </c>
      <c r="H74" s="593">
        <v>6692509</v>
      </c>
    </row>
    <row r="75" spans="1:8" ht="25.5">
      <c r="A75" s="379"/>
      <c r="B75" s="595" t="s">
        <v>1030</v>
      </c>
      <c r="C75" s="461"/>
      <c r="D75" s="520">
        <v>2954502</v>
      </c>
      <c r="E75" s="520">
        <v>3743493</v>
      </c>
      <c r="F75" s="520">
        <v>3358019</v>
      </c>
      <c r="G75" s="520">
        <v>3311079</v>
      </c>
      <c r="H75" s="593">
        <v>2954502</v>
      </c>
    </row>
    <row r="76" spans="1:8" ht="25.5">
      <c r="A76" s="379"/>
      <c r="B76" s="595" t="s">
        <v>1043</v>
      </c>
      <c r="C76" s="461"/>
      <c r="D76" s="520">
        <v>1650000</v>
      </c>
      <c r="E76" s="520">
        <v>2910000</v>
      </c>
      <c r="F76" s="520">
        <v>2490000</v>
      </c>
      <c r="G76" s="520">
        <v>2070000</v>
      </c>
      <c r="H76" s="593">
        <v>1650000</v>
      </c>
    </row>
    <row r="77" spans="1:8" ht="12.75">
      <c r="A77" s="454" t="s">
        <v>1044</v>
      </c>
      <c r="B77" s="588" t="s">
        <v>331</v>
      </c>
      <c r="C77" s="590"/>
      <c r="D77" s="600"/>
      <c r="E77" s="600"/>
      <c r="F77" s="600"/>
      <c r="G77" s="600"/>
      <c r="H77" s="601"/>
    </row>
    <row r="78" spans="1:8" ht="12.75">
      <c r="A78" s="379"/>
      <c r="B78" s="602" t="s">
        <v>1045</v>
      </c>
      <c r="C78" s="589">
        <v>5</v>
      </c>
      <c r="D78" s="589">
        <f>D79/D81</f>
        <v>0.48634287685105654</v>
      </c>
      <c r="E78" s="600"/>
      <c r="F78" s="600"/>
      <c r="G78" s="600"/>
      <c r="H78" s="601"/>
    </row>
    <row r="79" spans="1:8" ht="38.25">
      <c r="A79" s="379"/>
      <c r="B79" s="595" t="s">
        <v>1046</v>
      </c>
      <c r="C79" s="461"/>
      <c r="D79" s="625">
        <v>1.55</v>
      </c>
      <c r="E79" s="592"/>
      <c r="F79" s="592"/>
      <c r="G79" s="592"/>
      <c r="H79" s="608"/>
    </row>
    <row r="80" spans="1:8" ht="25.5">
      <c r="A80" s="379"/>
      <c r="B80" s="595" t="s">
        <v>1047</v>
      </c>
      <c r="C80" s="461"/>
      <c r="D80" s="520"/>
      <c r="E80" s="592"/>
      <c r="F80" s="592"/>
      <c r="G80" s="592"/>
      <c r="H80" s="608"/>
    </row>
    <row r="81" spans="1:8" ht="12.75">
      <c r="A81" s="379"/>
      <c r="B81" s="595" t="s">
        <v>1048</v>
      </c>
      <c r="C81" s="461"/>
      <c r="D81" s="909">
        <f>D82/D84</f>
        <v>3.1870519211381203</v>
      </c>
      <c r="E81" s="614"/>
      <c r="F81" s="614"/>
      <c r="G81" s="614"/>
      <c r="H81" s="615"/>
    </row>
    <row r="82" spans="1:8" ht="38.25">
      <c r="A82" s="379"/>
      <c r="B82" s="595" t="s">
        <v>1049</v>
      </c>
      <c r="C82" s="461"/>
      <c r="D82" s="520">
        <v>4552130</v>
      </c>
      <c r="E82" s="520"/>
      <c r="F82" s="520"/>
      <c r="G82" s="520"/>
      <c r="H82" s="593"/>
    </row>
    <row r="83" spans="1:8" ht="38.25">
      <c r="A83" s="379"/>
      <c r="B83" s="595" t="s">
        <v>1050</v>
      </c>
      <c r="C83" s="461"/>
      <c r="D83" s="520"/>
      <c r="E83" s="592"/>
      <c r="F83" s="592"/>
      <c r="G83" s="592"/>
      <c r="H83" s="608"/>
    </row>
    <row r="84" spans="1:8" ht="38.25">
      <c r="A84" s="379"/>
      <c r="B84" s="595" t="s">
        <v>1051</v>
      </c>
      <c r="C84" s="461"/>
      <c r="D84" s="520">
        <v>1428320</v>
      </c>
      <c r="E84" s="592"/>
      <c r="F84" s="592"/>
      <c r="G84" s="592"/>
      <c r="H84" s="608"/>
    </row>
    <row r="85" spans="1:8" ht="38.25">
      <c r="A85" s="454" t="s">
        <v>1052</v>
      </c>
      <c r="B85" s="602" t="s">
        <v>1053</v>
      </c>
      <c r="C85" s="596">
        <v>5</v>
      </c>
      <c r="D85" s="600">
        <v>10</v>
      </c>
      <c r="E85" s="600">
        <v>10</v>
      </c>
      <c r="F85" s="600">
        <v>10</v>
      </c>
      <c r="G85" s="600">
        <v>10</v>
      </c>
      <c r="H85" s="601">
        <v>10</v>
      </c>
    </row>
    <row r="86" spans="1:8" ht="51">
      <c r="A86" s="379"/>
      <c r="B86" s="595" t="s">
        <v>1054</v>
      </c>
      <c r="C86" s="461"/>
      <c r="D86" s="520">
        <v>1660472</v>
      </c>
      <c r="E86" s="520">
        <v>2177898</v>
      </c>
      <c r="F86" s="520">
        <v>2380576</v>
      </c>
      <c r="G86" s="520">
        <v>1712034</v>
      </c>
      <c r="H86" s="593">
        <v>1660472</v>
      </c>
    </row>
    <row r="87" spans="1:8" ht="13.5" thickBot="1">
      <c r="A87" s="616"/>
      <c r="B87" s="463" t="s">
        <v>258</v>
      </c>
      <c r="C87" s="617">
        <v>99.99982500000002</v>
      </c>
      <c r="D87" s="438"/>
      <c r="E87" s="438"/>
      <c r="F87" s="438"/>
      <c r="G87" s="438"/>
      <c r="H87" s="439"/>
    </row>
    <row r="88" ht="15.75" customHeight="1"/>
    <row r="89" spans="2:5" ht="18" customHeight="1">
      <c r="B89" s="482"/>
      <c r="C89" s="513"/>
      <c r="D89" s="513"/>
      <c r="E89" s="513"/>
    </row>
    <row r="90" spans="2:6" ht="16.5" customHeight="1">
      <c r="B90" s="1388" t="s">
        <v>1460</v>
      </c>
      <c r="C90" s="1388"/>
      <c r="D90" s="1388"/>
      <c r="E90" s="153" t="s">
        <v>1448</v>
      </c>
      <c r="F90" s="154"/>
    </row>
    <row r="91" spans="2:6" ht="12" customHeight="1">
      <c r="B91" s="153"/>
      <c r="C91" s="154"/>
      <c r="D91" s="154"/>
      <c r="E91" s="154"/>
      <c r="F91" s="154"/>
    </row>
    <row r="92" spans="2:6" ht="15.75" customHeight="1">
      <c r="B92" s="153" t="s">
        <v>1112</v>
      </c>
      <c r="C92" s="154"/>
      <c r="D92" s="154"/>
      <c r="E92" s="153" t="s">
        <v>708</v>
      </c>
      <c r="F92" s="153"/>
    </row>
  </sheetData>
  <sheetProtection/>
  <mergeCells count="14">
    <mergeCell ref="B90:D90"/>
    <mergeCell ref="A7:H7"/>
    <mergeCell ref="A8:H8"/>
    <mergeCell ref="A10:A12"/>
    <mergeCell ref="B10:B12"/>
    <mergeCell ref="C10:C12"/>
    <mergeCell ref="D10:H10"/>
    <mergeCell ref="D11:D12"/>
    <mergeCell ref="E11:H11"/>
    <mergeCell ref="E2:G2"/>
    <mergeCell ref="E3:G3"/>
    <mergeCell ref="E4:H4"/>
    <mergeCell ref="E5:H5"/>
    <mergeCell ref="A6:H6"/>
  </mergeCells>
  <printOptions/>
  <pageMargins left="0.57" right="0.25" top="0.7480314960629921" bottom="0.28" header="0.31496062992125984" footer="0.3149606299212598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H55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5.375" style="0" customWidth="1"/>
    <col min="2" max="2" width="30.875" style="0" customWidth="1"/>
    <col min="3" max="3" width="10.75390625" style="0" customWidth="1"/>
    <col min="4" max="4" width="10.125" style="0" bestFit="1" customWidth="1"/>
    <col min="5" max="5" width="13.375" style="0" customWidth="1"/>
    <col min="6" max="6" width="11.75390625" style="0" customWidth="1"/>
    <col min="7" max="7" width="10.75390625" style="0" customWidth="1"/>
    <col min="8" max="8" width="11.125" style="0" customWidth="1"/>
  </cols>
  <sheetData>
    <row r="1" spans="1:8" ht="18">
      <c r="A1" s="329" t="s">
        <v>972</v>
      </c>
      <c r="B1" s="329"/>
      <c r="C1" s="618"/>
      <c r="D1" s="618"/>
      <c r="E1" s="618"/>
      <c r="F1" s="619" t="s">
        <v>973</v>
      </c>
      <c r="G1" s="620"/>
      <c r="H1" s="620"/>
    </row>
    <row r="2" spans="1:8" ht="18">
      <c r="A2" s="618" t="s">
        <v>1055</v>
      </c>
      <c r="B2" s="618"/>
      <c r="C2" s="618"/>
      <c r="D2" s="618"/>
      <c r="E2" s="1279" t="s">
        <v>1056</v>
      </c>
      <c r="F2" s="1279"/>
      <c r="G2" s="1279"/>
      <c r="H2" s="620"/>
    </row>
    <row r="3" spans="1:8" ht="18">
      <c r="A3" s="618" t="s">
        <v>628</v>
      </c>
      <c r="B3" s="618"/>
      <c r="C3" s="618"/>
      <c r="D3" s="618"/>
      <c r="E3" s="1279" t="s">
        <v>975</v>
      </c>
      <c r="F3" s="1279"/>
      <c r="G3" s="1279"/>
      <c r="H3" s="618"/>
    </row>
    <row r="4" spans="1:8" ht="18">
      <c r="A4" s="618" t="s">
        <v>976</v>
      </c>
      <c r="B4" s="618"/>
      <c r="C4" s="618"/>
      <c r="D4" s="618"/>
      <c r="E4" s="1279" t="s">
        <v>977</v>
      </c>
      <c r="F4" s="1279"/>
      <c r="G4" s="1279"/>
      <c r="H4" s="1279"/>
    </row>
    <row r="5" spans="1:8" ht="18">
      <c r="A5" s="618" t="s">
        <v>978</v>
      </c>
      <c r="B5" s="618"/>
      <c r="C5" s="618" t="s">
        <v>979</v>
      </c>
      <c r="D5" s="618"/>
      <c r="E5" s="1279" t="s">
        <v>980</v>
      </c>
      <c r="F5" s="1279"/>
      <c r="G5" s="1279"/>
      <c r="H5" s="1279"/>
    </row>
    <row r="6" spans="1:2" ht="15">
      <c r="A6" s="154"/>
      <c r="B6" s="154"/>
    </row>
    <row r="8" spans="1:8" ht="14.25">
      <c r="A8" s="1387"/>
      <c r="B8" s="1387"/>
      <c r="C8" s="1387"/>
      <c r="D8" s="1387"/>
      <c r="E8" s="1387"/>
      <c r="F8" s="1387"/>
      <c r="G8" s="1387"/>
      <c r="H8" s="1387"/>
    </row>
    <row r="9" spans="1:8" ht="15.75">
      <c r="A9" s="1226" t="s">
        <v>981</v>
      </c>
      <c r="B9" s="1226"/>
      <c r="C9" s="1226"/>
      <c r="D9" s="1226"/>
      <c r="E9" s="1226"/>
      <c r="F9" s="1226"/>
      <c r="G9" s="1226"/>
      <c r="H9" s="1226"/>
    </row>
    <row r="10" spans="1:8" ht="15.75">
      <c r="A10" s="1321" t="s">
        <v>1435</v>
      </c>
      <c r="B10" s="1321"/>
      <c r="C10" s="1321"/>
      <c r="D10" s="1321"/>
      <c r="E10" s="1321"/>
      <c r="F10" s="1321"/>
      <c r="G10" s="1321"/>
      <c r="H10" s="1321"/>
    </row>
    <row r="11" ht="13.5" thickBot="1"/>
    <row r="12" spans="1:8" ht="12.75">
      <c r="A12" s="1332" t="s">
        <v>249</v>
      </c>
      <c r="B12" s="1395" t="s">
        <v>325</v>
      </c>
      <c r="C12" s="1334" t="s">
        <v>326</v>
      </c>
      <c r="D12" s="1380" t="s">
        <v>982</v>
      </c>
      <c r="E12" s="1398"/>
      <c r="F12" s="1398"/>
      <c r="G12" s="1398"/>
      <c r="H12" s="1399"/>
    </row>
    <row r="13" spans="1:8" ht="12.75">
      <c r="A13" s="1394"/>
      <c r="B13" s="1396"/>
      <c r="C13" s="1396"/>
      <c r="D13" s="1336" t="s">
        <v>1403</v>
      </c>
      <c r="E13" s="1401" t="s">
        <v>1057</v>
      </c>
      <c r="F13" s="1402"/>
      <c r="G13" s="1402"/>
      <c r="H13" s="1403"/>
    </row>
    <row r="14" spans="1:8" ht="38.25">
      <c r="A14" s="1253"/>
      <c r="B14" s="1397"/>
      <c r="C14" s="1397"/>
      <c r="D14" s="1400"/>
      <c r="E14" s="472" t="s">
        <v>1436</v>
      </c>
      <c r="F14" s="472" t="s">
        <v>1432</v>
      </c>
      <c r="G14" s="472" t="s">
        <v>1433</v>
      </c>
      <c r="H14" s="583" t="s">
        <v>1403</v>
      </c>
    </row>
    <row r="15" spans="1:8" ht="12.75">
      <c r="A15" s="390"/>
      <c r="B15" s="621"/>
      <c r="C15" s="584" t="s">
        <v>985</v>
      </c>
      <c r="D15" s="585" t="s">
        <v>986</v>
      </c>
      <c r="E15" s="585" t="s">
        <v>986</v>
      </c>
      <c r="F15" s="585" t="s">
        <v>986</v>
      </c>
      <c r="G15" s="585" t="s">
        <v>986</v>
      </c>
      <c r="H15" s="586" t="s">
        <v>986</v>
      </c>
    </row>
    <row r="16" spans="1:8" ht="53.25" customHeight="1">
      <c r="A16" s="454" t="s">
        <v>562</v>
      </c>
      <c r="B16" s="588" t="s">
        <v>1058</v>
      </c>
      <c r="C16" s="600"/>
      <c r="D16" s="590"/>
      <c r="E16" s="590"/>
      <c r="F16" s="590"/>
      <c r="G16" s="590"/>
      <c r="H16" s="622"/>
    </row>
    <row r="17" spans="1:8" ht="15">
      <c r="A17" s="493"/>
      <c r="B17" s="623" t="s">
        <v>1059</v>
      </c>
      <c r="C17" s="604">
        <v>20</v>
      </c>
      <c r="D17" s="604">
        <f>D18/D19</f>
        <v>0.44495841892873</v>
      </c>
      <c r="E17" s="604">
        <f>E18/E19</f>
        <v>0.48020363547980127</v>
      </c>
      <c r="F17" s="604">
        <f>F18/F19</f>
        <v>0.47670235216015017</v>
      </c>
      <c r="G17" s="604">
        <f>G18/G19</f>
        <v>0.47368867587291663</v>
      </c>
      <c r="H17" s="607">
        <f>H18/H19</f>
        <v>0.44495841892873</v>
      </c>
    </row>
    <row r="18" spans="1:8" ht="38.25">
      <c r="A18" s="493"/>
      <c r="B18" s="595" t="s">
        <v>1060</v>
      </c>
      <c r="C18" s="613"/>
      <c r="D18" s="520">
        <v>10174336</v>
      </c>
      <c r="E18" s="520">
        <v>8582451</v>
      </c>
      <c r="F18" s="520">
        <v>8771861</v>
      </c>
      <c r="G18" s="520">
        <v>8921975</v>
      </c>
      <c r="H18" s="593">
        <v>10174336</v>
      </c>
    </row>
    <row r="19" spans="1:8" ht="51">
      <c r="A19" s="493"/>
      <c r="B19" s="624" t="s">
        <v>1061</v>
      </c>
      <c r="C19" s="613"/>
      <c r="D19" s="520">
        <v>22865813</v>
      </c>
      <c r="E19" s="520">
        <v>17872524</v>
      </c>
      <c r="F19" s="520">
        <v>18401128</v>
      </c>
      <c r="G19" s="520">
        <v>18835103</v>
      </c>
      <c r="H19" s="593">
        <v>22865813</v>
      </c>
    </row>
    <row r="20" spans="1:8" ht="25.5">
      <c r="A20" s="605" t="s">
        <v>563</v>
      </c>
      <c r="B20" s="560" t="s">
        <v>1062</v>
      </c>
      <c r="C20" s="625"/>
      <c r="D20" s="626"/>
      <c r="E20" s="626"/>
      <c r="F20" s="626"/>
      <c r="G20" s="626"/>
      <c r="H20" s="627"/>
    </row>
    <row r="21" spans="1:8" ht="15">
      <c r="A21" s="605"/>
      <c r="B21" s="628" t="s">
        <v>1063</v>
      </c>
      <c r="C21" s="625">
        <v>10</v>
      </c>
      <c r="D21" s="589">
        <f>D22/D23</f>
        <v>0.1762766974434716</v>
      </c>
      <c r="E21" s="589">
        <f>E22/E23</f>
        <v>0.032200264495378494</v>
      </c>
      <c r="F21" s="589">
        <f>F22/F23</f>
        <v>0.028726717188207157</v>
      </c>
      <c r="G21" s="589">
        <f>G22/G23</f>
        <v>0.023040755338582432</v>
      </c>
      <c r="H21" s="603">
        <f>H22/H23</f>
        <v>0.1762766974434716</v>
      </c>
    </row>
    <row r="22" spans="1:8" ht="89.25">
      <c r="A22" s="497"/>
      <c r="B22" s="545" t="s">
        <v>1064</v>
      </c>
      <c r="C22" s="625"/>
      <c r="D22" s="520">
        <f>H22</f>
        <v>4030710</v>
      </c>
      <c r="E22" s="520">
        <v>575500</v>
      </c>
      <c r="F22" s="520">
        <v>528604</v>
      </c>
      <c r="G22" s="520">
        <v>433975</v>
      </c>
      <c r="H22" s="593">
        <v>4030710</v>
      </c>
    </row>
    <row r="23" spans="1:8" ht="91.5" customHeight="1">
      <c r="A23" s="498"/>
      <c r="B23" s="560" t="s">
        <v>1065</v>
      </c>
      <c r="C23" s="625"/>
      <c r="D23" s="520">
        <f>H23</f>
        <v>22865813</v>
      </c>
      <c r="E23" s="520">
        <v>17872524</v>
      </c>
      <c r="F23" s="520">
        <f>E23+F22</f>
        <v>18401128</v>
      </c>
      <c r="G23" s="520">
        <f>F23+G22</f>
        <v>18835103</v>
      </c>
      <c r="H23" s="593">
        <f>G23+H22</f>
        <v>22865813</v>
      </c>
    </row>
    <row r="24" spans="1:8" ht="12.75">
      <c r="A24" s="454" t="s">
        <v>564</v>
      </c>
      <c r="B24" s="588" t="s">
        <v>597</v>
      </c>
      <c r="C24" s="604"/>
      <c r="D24" s="600"/>
      <c r="E24" s="600"/>
      <c r="F24" s="600"/>
      <c r="G24" s="600"/>
      <c r="H24" s="601"/>
    </row>
    <row r="25" spans="1:8" ht="15">
      <c r="A25" s="379"/>
      <c r="B25" s="629" t="s">
        <v>1066</v>
      </c>
      <c r="C25" s="604">
        <v>20</v>
      </c>
      <c r="D25" s="732">
        <f>D26/D27</f>
        <v>155978.3671875</v>
      </c>
      <c r="E25" s="732">
        <f>E26/E27</f>
        <v>39001.653645833336</v>
      </c>
      <c r="F25" s="732">
        <f>F26/F27</f>
        <v>77413.04947916667</v>
      </c>
      <c r="G25" s="732">
        <f>G26/G27</f>
        <v>114763.03125</v>
      </c>
      <c r="H25" s="733">
        <f>H26/H27</f>
        <v>155978.3671875</v>
      </c>
    </row>
    <row r="26" spans="1:8" ht="63.75">
      <c r="A26" s="379"/>
      <c r="B26" s="595" t="s">
        <v>1067</v>
      </c>
      <c r="C26" s="613"/>
      <c r="D26" s="524">
        <v>59895693</v>
      </c>
      <c r="E26" s="524">
        <v>14976635</v>
      </c>
      <c r="F26" s="524">
        <f>E26+14749976</f>
        <v>29726611</v>
      </c>
      <c r="G26" s="524">
        <f>F26+14342393</f>
        <v>44069004</v>
      </c>
      <c r="H26" s="597">
        <f>G26+15826688+1</f>
        <v>59895693</v>
      </c>
    </row>
    <row r="27" spans="1:8" ht="38.25">
      <c r="A27" s="379"/>
      <c r="B27" s="630" t="s">
        <v>1068</v>
      </c>
      <c r="C27" s="613"/>
      <c r="D27" s="910">
        <v>384</v>
      </c>
      <c r="E27" s="910">
        <v>384</v>
      </c>
      <c r="F27" s="910">
        <v>384</v>
      </c>
      <c r="G27" s="910">
        <v>384</v>
      </c>
      <c r="H27" s="1128">
        <v>384</v>
      </c>
    </row>
    <row r="28" spans="1:8" ht="12.75">
      <c r="A28" s="454" t="s">
        <v>565</v>
      </c>
      <c r="B28" s="588" t="s">
        <v>1069</v>
      </c>
      <c r="C28" s="604"/>
      <c r="D28" s="632"/>
      <c r="E28" s="632"/>
      <c r="F28" s="632"/>
      <c r="G28" s="632"/>
      <c r="H28" s="633"/>
    </row>
    <row r="29" spans="1:8" ht="15">
      <c r="A29" s="379"/>
      <c r="B29" s="629" t="s">
        <v>1070</v>
      </c>
      <c r="C29" s="604">
        <v>10</v>
      </c>
      <c r="D29" s="634">
        <f>D30/D31</f>
        <v>5.5515245870049945</v>
      </c>
      <c r="E29" s="634">
        <f>E30/E31</f>
        <v>1.6478935507662502</v>
      </c>
      <c r="F29" s="634">
        <f>F30/F31</f>
        <v>3.2109287068797534</v>
      </c>
      <c r="G29" s="634">
        <f>G30/G31</f>
        <v>4.68825276242947</v>
      </c>
      <c r="H29" s="635">
        <f>H30/H31</f>
        <v>5.5515245870049945</v>
      </c>
    </row>
    <row r="30" spans="1:8" ht="63.75">
      <c r="A30" s="379"/>
      <c r="B30" s="595" t="s">
        <v>1067</v>
      </c>
      <c r="C30" s="613"/>
      <c r="D30" s="524">
        <v>59895693</v>
      </c>
      <c r="E30" s="524">
        <v>14976635</v>
      </c>
      <c r="F30" s="524">
        <f>E30+14749976</f>
        <v>29726611</v>
      </c>
      <c r="G30" s="524">
        <f>F30+14342393</f>
        <v>44069004</v>
      </c>
      <c r="H30" s="597">
        <f>G30+15826688+1</f>
        <v>59895693</v>
      </c>
    </row>
    <row r="31" spans="1:8" ht="114.75">
      <c r="A31" s="379"/>
      <c r="B31" s="595" t="s">
        <v>1071</v>
      </c>
      <c r="C31" s="613"/>
      <c r="D31" s="639">
        <v>10789053</v>
      </c>
      <c r="E31" s="639">
        <v>9088351</v>
      </c>
      <c r="F31" s="639">
        <v>9257948</v>
      </c>
      <c r="G31" s="639">
        <v>9399878</v>
      </c>
      <c r="H31" s="640">
        <v>10789053</v>
      </c>
    </row>
    <row r="32" spans="1:8" ht="76.5" customHeight="1">
      <c r="A32" s="454" t="s">
        <v>1014</v>
      </c>
      <c r="B32" s="588" t="s">
        <v>1072</v>
      </c>
      <c r="C32" s="604"/>
      <c r="D32" s="632"/>
      <c r="E32" s="632"/>
      <c r="F32" s="632"/>
      <c r="G32" s="632"/>
      <c r="H32" s="633"/>
    </row>
    <row r="33" spans="1:8" ht="25.5">
      <c r="A33" s="379"/>
      <c r="B33" s="588" t="s">
        <v>1073</v>
      </c>
      <c r="C33" s="604">
        <v>15</v>
      </c>
      <c r="D33" s="637">
        <f>D34/D35</f>
        <v>0.7111310556095083</v>
      </c>
      <c r="E33" s="637">
        <f>E34/E35</f>
        <v>0.7188647238046453</v>
      </c>
      <c r="F33" s="637">
        <f>F34/F35</f>
        <v>0.7134125987572918</v>
      </c>
      <c r="G33" s="637">
        <f>G34/G35</f>
        <v>0.710757038835065</v>
      </c>
      <c r="H33" s="638">
        <f>H34/H35</f>
        <v>0.7111310556095083</v>
      </c>
    </row>
    <row r="34" spans="1:8" ht="51.75" customHeight="1">
      <c r="A34" s="379"/>
      <c r="B34" s="545" t="s">
        <v>1074</v>
      </c>
      <c r="C34" s="625"/>
      <c r="D34" s="524">
        <v>59895693</v>
      </c>
      <c r="E34" s="524">
        <v>14976635</v>
      </c>
      <c r="F34" s="524">
        <f>E34+14749976</f>
        <v>29726611</v>
      </c>
      <c r="G34" s="524">
        <f>F34+14342393</f>
        <v>44069004</v>
      </c>
      <c r="H34" s="597">
        <f>G34+15826688+1</f>
        <v>59895693</v>
      </c>
    </row>
    <row r="35" spans="1:8" ht="101.25" customHeight="1">
      <c r="A35" s="379"/>
      <c r="B35" s="545" t="s">
        <v>1075</v>
      </c>
      <c r="C35" s="625"/>
      <c r="D35" s="639">
        <v>84225956</v>
      </c>
      <c r="E35" s="639">
        <v>20833732</v>
      </c>
      <c r="F35" s="639">
        <v>41668189</v>
      </c>
      <c r="G35" s="639">
        <v>62002909</v>
      </c>
      <c r="H35" s="640">
        <v>84225956</v>
      </c>
    </row>
    <row r="36" spans="1:8" ht="40.5" customHeight="1">
      <c r="A36" s="379"/>
      <c r="B36" s="545" t="s">
        <v>1076</v>
      </c>
      <c r="C36" s="625"/>
      <c r="D36" s="639">
        <v>0</v>
      </c>
      <c r="E36" s="639">
        <v>0</v>
      </c>
      <c r="F36" s="639">
        <v>0</v>
      </c>
      <c r="G36" s="639">
        <v>0</v>
      </c>
      <c r="H36" s="640">
        <v>0</v>
      </c>
    </row>
    <row r="37" spans="1:8" ht="55.5" customHeight="1">
      <c r="A37" s="379"/>
      <c r="B37" s="545" t="s">
        <v>1077</v>
      </c>
      <c r="C37" s="625"/>
      <c r="D37" s="639">
        <v>0</v>
      </c>
      <c r="E37" s="639">
        <v>0</v>
      </c>
      <c r="F37" s="639">
        <v>0</v>
      </c>
      <c r="G37" s="639">
        <v>0</v>
      </c>
      <c r="H37" s="640">
        <v>0</v>
      </c>
    </row>
    <row r="38" spans="1:8" ht="38.25">
      <c r="A38" s="454" t="s">
        <v>1019</v>
      </c>
      <c r="B38" s="588" t="s">
        <v>1078</v>
      </c>
      <c r="C38" s="604"/>
      <c r="D38" s="632"/>
      <c r="E38" s="632"/>
      <c r="F38" s="632"/>
      <c r="G38" s="632"/>
      <c r="H38" s="633"/>
    </row>
    <row r="39" spans="1:8" ht="15">
      <c r="A39" s="379"/>
      <c r="B39" s="641" t="s">
        <v>1079</v>
      </c>
      <c r="C39" s="604">
        <v>15</v>
      </c>
      <c r="D39" s="634">
        <f>D40/D41</f>
        <v>0.12682916304085406</v>
      </c>
      <c r="E39" s="634">
        <f>E40/E41</f>
        <v>0.12613471294109327</v>
      </c>
      <c r="F39" s="634">
        <f>F40/F41</f>
        <v>0.1261842033027511</v>
      </c>
      <c r="G39" s="634">
        <f>G40/G41</f>
        <v>0.1263485736091829</v>
      </c>
      <c r="H39" s="635">
        <f>H40/H41</f>
        <v>0.12682916304085406</v>
      </c>
    </row>
    <row r="40" spans="1:8" ht="65.25" customHeight="1">
      <c r="A40" s="379"/>
      <c r="B40" s="595" t="s">
        <v>1080</v>
      </c>
      <c r="C40" s="613"/>
      <c r="D40" s="639">
        <v>6119083</v>
      </c>
      <c r="E40" s="639">
        <v>1519752</v>
      </c>
      <c r="F40" s="639">
        <f>E40+1498146</f>
        <v>3017898</v>
      </c>
      <c r="G40" s="639">
        <f>F40+1463156</f>
        <v>4481054</v>
      </c>
      <c r="H40" s="640">
        <f>G40+1638029</f>
        <v>6119083</v>
      </c>
    </row>
    <row r="41" spans="1:8" ht="27" customHeight="1">
      <c r="A41" s="379"/>
      <c r="B41" s="595" t="s">
        <v>1081</v>
      </c>
      <c r="C41" s="613"/>
      <c r="D41" s="520">
        <v>48246656</v>
      </c>
      <c r="E41" s="520">
        <v>12048642</v>
      </c>
      <c r="F41" s="520">
        <f>E41+11867965</f>
        <v>23916607</v>
      </c>
      <c r="G41" s="639">
        <f>F41+11549199</f>
        <v>35465806</v>
      </c>
      <c r="H41" s="640">
        <f>G41+12780850</f>
        <v>48246656</v>
      </c>
    </row>
    <row r="42" spans="1:8" ht="38.25">
      <c r="A42" s="454" t="s">
        <v>1022</v>
      </c>
      <c r="B42" s="588" t="s">
        <v>1082</v>
      </c>
      <c r="C42" s="613"/>
      <c r="D42" s="639"/>
      <c r="E42" s="639"/>
      <c r="F42" s="639"/>
      <c r="G42" s="639"/>
      <c r="H42" s="640"/>
    </row>
    <row r="43" spans="1:8" ht="15">
      <c r="A43" s="379"/>
      <c r="B43" s="629" t="s">
        <v>1083</v>
      </c>
      <c r="C43" s="613">
        <v>5</v>
      </c>
      <c r="D43" s="634">
        <f>D44/394</f>
        <v>44.38324873096447</v>
      </c>
      <c r="E43" s="634">
        <f>E44/394</f>
        <v>11.095812182741117</v>
      </c>
      <c r="F43" s="634">
        <f>F44/394</f>
        <v>22.191624365482234</v>
      </c>
      <c r="G43" s="634">
        <f>G44/394</f>
        <v>33.28743654822335</v>
      </c>
      <c r="H43" s="635">
        <f>H44/394</f>
        <v>44.38324873096447</v>
      </c>
    </row>
    <row r="44" spans="1:8" ht="25.5">
      <c r="A44" s="379"/>
      <c r="B44" s="595" t="s">
        <v>1084</v>
      </c>
      <c r="C44" s="613"/>
      <c r="D44" s="506">
        <v>17487</v>
      </c>
      <c r="E44" s="506">
        <v>4371.75</v>
      </c>
      <c r="F44" s="506">
        <f>E44+4371.75</f>
        <v>8743.5</v>
      </c>
      <c r="G44" s="506">
        <f>F44+4371.75</f>
        <v>13115.25</v>
      </c>
      <c r="H44" s="507">
        <f>G44+4371.75</f>
        <v>17487</v>
      </c>
    </row>
    <row r="45" spans="1:8" ht="38.25">
      <c r="A45" s="379"/>
      <c r="B45" s="595" t="s">
        <v>1085</v>
      </c>
      <c r="C45" s="613"/>
      <c r="D45" s="631">
        <v>394</v>
      </c>
      <c r="E45" s="631">
        <v>394</v>
      </c>
      <c r="F45" s="631">
        <v>394</v>
      </c>
      <c r="G45" s="631">
        <v>394</v>
      </c>
      <c r="H45" s="636">
        <v>394</v>
      </c>
    </row>
    <row r="46" spans="1:8" ht="25.5">
      <c r="A46" s="454" t="s">
        <v>1027</v>
      </c>
      <c r="B46" s="624" t="s">
        <v>1086</v>
      </c>
      <c r="C46" s="613"/>
      <c r="D46" s="632"/>
      <c r="E46" s="632"/>
      <c r="F46" s="632"/>
      <c r="G46" s="632"/>
      <c r="H46" s="633"/>
    </row>
    <row r="47" spans="1:8" ht="15">
      <c r="A47" s="454"/>
      <c r="B47" s="642" t="s">
        <v>1087</v>
      </c>
      <c r="C47" s="613">
        <v>5</v>
      </c>
      <c r="D47" s="634">
        <v>1.05</v>
      </c>
      <c r="E47" s="634">
        <v>1.05</v>
      </c>
      <c r="F47" s="634">
        <v>1.05</v>
      </c>
      <c r="G47" s="634">
        <v>1.05</v>
      </c>
      <c r="H47" s="635">
        <v>1.05</v>
      </c>
    </row>
    <row r="48" spans="1:8" ht="38.25">
      <c r="A48" s="454"/>
      <c r="B48" s="595" t="s">
        <v>1088</v>
      </c>
      <c r="C48" s="613"/>
      <c r="D48" s="631"/>
      <c r="E48" s="631"/>
      <c r="F48" s="631"/>
      <c r="G48" s="631"/>
      <c r="H48" s="636"/>
    </row>
    <row r="49" spans="1:8" ht="16.5" thickBot="1">
      <c r="A49" s="616"/>
      <c r="B49" s="643" t="s">
        <v>258</v>
      </c>
      <c r="C49" s="644">
        <f>SUM(C17:C48)</f>
        <v>100</v>
      </c>
      <c r="D49" s="438"/>
      <c r="E49" s="438"/>
      <c r="F49" s="438"/>
      <c r="G49" s="438"/>
      <c r="H49" s="439"/>
    </row>
    <row r="51" spans="2:6" ht="18">
      <c r="B51" s="618"/>
      <c r="C51" s="618"/>
      <c r="D51" s="618"/>
      <c r="E51" s="618"/>
      <c r="F51" s="618"/>
    </row>
    <row r="52" spans="2:6" ht="15.75">
      <c r="B52" s="1388" t="s">
        <v>1460</v>
      </c>
      <c r="C52" s="1388"/>
      <c r="D52" s="1388"/>
      <c r="E52" s="153" t="s">
        <v>1448</v>
      </c>
      <c r="F52" s="154"/>
    </row>
    <row r="53" spans="2:6" ht="15.75">
      <c r="B53" s="153"/>
      <c r="C53" s="154"/>
      <c r="D53" s="154"/>
      <c r="E53" s="154"/>
      <c r="F53" s="154"/>
    </row>
    <row r="54" spans="2:6" ht="15.75">
      <c r="B54" s="153" t="s">
        <v>1112</v>
      </c>
      <c r="C54" s="154"/>
      <c r="D54" s="154"/>
      <c r="E54" s="153" t="s">
        <v>708</v>
      </c>
      <c r="F54" s="153"/>
    </row>
    <row r="55" spans="2:5" ht="15">
      <c r="B55" s="482"/>
      <c r="C55" s="513"/>
      <c r="D55" s="513"/>
      <c r="E55" s="513"/>
    </row>
  </sheetData>
  <sheetProtection/>
  <mergeCells count="14">
    <mergeCell ref="E2:G2"/>
    <mergeCell ref="E3:G3"/>
    <mergeCell ref="E4:H4"/>
    <mergeCell ref="E5:H5"/>
    <mergeCell ref="A8:H8"/>
    <mergeCell ref="A9:H9"/>
    <mergeCell ref="B52:D52"/>
    <mergeCell ref="A10:H10"/>
    <mergeCell ref="A12:A14"/>
    <mergeCell ref="B12:B14"/>
    <mergeCell ref="C12:C14"/>
    <mergeCell ref="D12:H12"/>
    <mergeCell ref="D13:D14"/>
    <mergeCell ref="E13:H13"/>
  </mergeCells>
  <printOptions/>
  <pageMargins left="0.7" right="0.2755905511811024" top="0.8267716535433072" bottom="0.31496062992125984" header="0.31496062992125984" footer="0.2362204724409449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zoomScalePageLayoutView="0" workbookViewId="0" topLeftCell="A4">
      <selection activeCell="K27" sqref="K27"/>
    </sheetView>
  </sheetViews>
  <sheetFormatPr defaultColWidth="9.00390625" defaultRowHeight="12.75"/>
  <cols>
    <col min="1" max="1" width="61.875" style="0" customWidth="1"/>
    <col min="2" max="3" width="8.75390625" style="0" customWidth="1"/>
    <col min="4" max="5" width="9.00390625" style="0" customWidth="1"/>
    <col min="6" max="6" width="8.75390625" style="0" customWidth="1"/>
  </cols>
  <sheetData>
    <row r="1" spans="1:6" ht="15.75">
      <c r="A1" s="1353" t="s">
        <v>1399</v>
      </c>
      <c r="B1" s="1353"/>
      <c r="C1" s="1353"/>
      <c r="D1" s="1353"/>
      <c r="E1" s="1353"/>
      <c r="F1" s="1353"/>
    </row>
    <row r="2" spans="1:6" ht="15.75">
      <c r="A2" s="1353"/>
      <c r="B2" s="1353"/>
      <c r="C2" s="863"/>
      <c r="D2" s="863"/>
      <c r="E2" s="863"/>
      <c r="F2" s="882"/>
    </row>
    <row r="3" spans="1:6" ht="15.75">
      <c r="A3" s="1404" t="s">
        <v>1400</v>
      </c>
      <c r="B3" s="1404"/>
      <c r="C3" s="864"/>
      <c r="D3" s="864"/>
      <c r="E3" s="864"/>
      <c r="F3" s="883" t="s">
        <v>1401</v>
      </c>
    </row>
    <row r="4" spans="1:6" ht="13.5" thickBot="1">
      <c r="A4" s="53"/>
      <c r="B4" s="31"/>
      <c r="C4" s="31"/>
      <c r="D4" s="31"/>
      <c r="E4" s="31"/>
      <c r="F4" s="882"/>
    </row>
    <row r="5" spans="1:6" ht="12.75">
      <c r="A5" s="1356" t="s">
        <v>54</v>
      </c>
      <c r="B5" s="1406" t="s">
        <v>1402</v>
      </c>
      <c r="C5" s="1406" t="s">
        <v>1403</v>
      </c>
      <c r="D5" s="1406"/>
      <c r="E5" s="1406"/>
      <c r="F5" s="1408"/>
    </row>
    <row r="6" spans="1:6" ht="26.25" thickBot="1">
      <c r="A6" s="1405"/>
      <c r="B6" s="1407"/>
      <c r="C6" s="884" t="s">
        <v>1404</v>
      </c>
      <c r="D6" s="884" t="s">
        <v>1405</v>
      </c>
      <c r="E6" s="885" t="s">
        <v>1406</v>
      </c>
      <c r="F6" s="886" t="s">
        <v>1407</v>
      </c>
    </row>
    <row r="7" spans="1:6" ht="12.75">
      <c r="A7" s="887">
        <v>1</v>
      </c>
      <c r="B7" s="888">
        <v>2</v>
      </c>
      <c r="C7" s="888"/>
      <c r="D7" s="888"/>
      <c r="E7" s="889"/>
      <c r="F7" s="890"/>
    </row>
    <row r="8" spans="1:6" ht="12.75">
      <c r="A8" s="689" t="s">
        <v>1408</v>
      </c>
      <c r="B8" s="56">
        <v>10</v>
      </c>
      <c r="C8" s="891">
        <v>14976635</v>
      </c>
      <c r="D8" s="891">
        <f>C8+14749976</f>
        <v>29726611</v>
      </c>
      <c r="E8" s="891">
        <f>D8+14342393</f>
        <v>44069004</v>
      </c>
      <c r="F8" s="892">
        <f>E8+15826689</f>
        <v>59895693</v>
      </c>
    </row>
    <row r="9" spans="1:6" ht="12.75" customHeight="1">
      <c r="A9" s="689" t="s">
        <v>1409</v>
      </c>
      <c r="B9" s="56">
        <v>20</v>
      </c>
      <c r="C9" s="891">
        <v>11095642</v>
      </c>
      <c r="D9" s="891">
        <f>C9+10965965</f>
        <v>22061607</v>
      </c>
      <c r="E9" s="891">
        <f>D9+10497199</f>
        <v>32558806</v>
      </c>
      <c r="F9" s="893">
        <f>E9+12777850</f>
        <v>45336656</v>
      </c>
    </row>
    <row r="10" spans="1:6" ht="22.5">
      <c r="A10" s="691" t="s">
        <v>1410</v>
      </c>
      <c r="B10" s="59">
        <v>30</v>
      </c>
      <c r="C10" s="894">
        <f>C8-C9</f>
        <v>3880993</v>
      </c>
      <c r="D10" s="894">
        <f>D8-D9</f>
        <v>7665004</v>
      </c>
      <c r="E10" s="894">
        <f>E8-E9</f>
        <v>11510198</v>
      </c>
      <c r="F10" s="895">
        <f>F8-F9</f>
        <v>14559037</v>
      </c>
    </row>
    <row r="11" spans="1:6" ht="12.75">
      <c r="A11" s="691" t="s">
        <v>1411</v>
      </c>
      <c r="B11" s="61">
        <v>40</v>
      </c>
      <c r="C11" s="894">
        <f>C12+C13+C14</f>
        <v>2292779</v>
      </c>
      <c r="D11" s="894">
        <f>D12+D13+D14+D15</f>
        <v>4619331</v>
      </c>
      <c r="E11" s="894">
        <f>E12+E13+E14+E15</f>
        <v>6869470</v>
      </c>
      <c r="F11" s="895">
        <f>F12+F13+F14+F15</f>
        <v>9289120</v>
      </c>
    </row>
    <row r="12" spans="1:6" ht="12.75">
      <c r="A12" s="689" t="s">
        <v>1412</v>
      </c>
      <c r="B12" s="62">
        <v>50</v>
      </c>
      <c r="C12" s="891">
        <v>37197</v>
      </c>
      <c r="D12" s="891">
        <f>C12+37197</f>
        <v>74394</v>
      </c>
      <c r="E12" s="891">
        <f>D12+37197</f>
        <v>111591</v>
      </c>
      <c r="F12" s="892">
        <v>148788</v>
      </c>
    </row>
    <row r="13" spans="1:6" ht="12.75">
      <c r="A13" s="689" t="s">
        <v>363</v>
      </c>
      <c r="B13" s="56">
        <v>60</v>
      </c>
      <c r="C13" s="891">
        <v>732612</v>
      </c>
      <c r="D13" s="891">
        <f>C13+732612</f>
        <v>1465224</v>
      </c>
      <c r="E13" s="891">
        <f>D13+732612</f>
        <v>2197836</v>
      </c>
      <c r="F13" s="892">
        <v>2930448</v>
      </c>
    </row>
    <row r="14" spans="1:6" ht="12.75">
      <c r="A14" s="689" t="s">
        <v>606</v>
      </c>
      <c r="B14" s="56">
        <v>70</v>
      </c>
      <c r="C14" s="891">
        <v>1522970</v>
      </c>
      <c r="D14" s="891">
        <f>C14+1556743</f>
        <v>3079713</v>
      </c>
      <c r="E14" s="891">
        <f>D14+1480330</f>
        <v>4560043</v>
      </c>
      <c r="F14" s="892">
        <f>E14+1649841</f>
        <v>6209884</v>
      </c>
    </row>
    <row r="15" spans="1:6" ht="13.5" customHeight="1">
      <c r="A15" s="689" t="s">
        <v>1413</v>
      </c>
      <c r="B15" s="56">
        <v>80</v>
      </c>
      <c r="C15" s="891"/>
      <c r="D15" s="891"/>
      <c r="E15" s="891"/>
      <c r="F15" s="896"/>
    </row>
    <row r="16" spans="1:6" ht="12.75">
      <c r="A16" s="689" t="s">
        <v>1414</v>
      </c>
      <c r="B16" s="56">
        <v>90</v>
      </c>
      <c r="C16" s="891">
        <v>110000</v>
      </c>
      <c r="D16" s="891">
        <f>C16+110000</f>
        <v>220000</v>
      </c>
      <c r="E16" s="891">
        <f>D16+110000</f>
        <v>330000</v>
      </c>
      <c r="F16" s="893">
        <f>E16+110000</f>
        <v>440000</v>
      </c>
    </row>
    <row r="17" spans="1:6" ht="15" customHeight="1">
      <c r="A17" s="691" t="s">
        <v>1415</v>
      </c>
      <c r="B17" s="54">
        <v>100</v>
      </c>
      <c r="C17" s="894">
        <f>C10-C11+C16</f>
        <v>1698214</v>
      </c>
      <c r="D17" s="894">
        <f>D10-D11+D16</f>
        <v>3265673</v>
      </c>
      <c r="E17" s="894">
        <f>E10-E11+E16</f>
        <v>4970728</v>
      </c>
      <c r="F17" s="895">
        <f>F10-F11+F16</f>
        <v>5709917</v>
      </c>
    </row>
    <row r="18" spans="1:6" ht="22.5">
      <c r="A18" s="691" t="s">
        <v>1416</v>
      </c>
      <c r="B18" s="54">
        <v>110</v>
      </c>
      <c r="C18" s="894">
        <f>C19+C20+C21+C22+C23</f>
        <v>0</v>
      </c>
      <c r="D18" s="894">
        <f>D19+D20+D21+D22+D23</f>
        <v>0</v>
      </c>
      <c r="E18" s="894">
        <f>E19+E20+E21+E22+E23</f>
        <v>0</v>
      </c>
      <c r="F18" s="895">
        <f>F19+F20+F21+F22+F23</f>
        <v>0</v>
      </c>
    </row>
    <row r="19" spans="1:6" ht="12.75">
      <c r="A19" s="689" t="s">
        <v>1417</v>
      </c>
      <c r="B19" s="63">
        <v>120</v>
      </c>
      <c r="C19" s="891"/>
      <c r="D19" s="891"/>
      <c r="E19" s="891"/>
      <c r="F19" s="896"/>
    </row>
    <row r="20" spans="1:6" ht="12.75">
      <c r="A20" s="689" t="s">
        <v>1418</v>
      </c>
      <c r="B20" s="63">
        <v>130</v>
      </c>
      <c r="C20" s="891">
        <v>0</v>
      </c>
      <c r="D20" s="891">
        <v>0</v>
      </c>
      <c r="E20" s="891"/>
      <c r="F20" s="892"/>
    </row>
    <row r="21" spans="1:6" ht="12.75">
      <c r="A21" s="689" t="s">
        <v>1419</v>
      </c>
      <c r="B21" s="63">
        <v>140</v>
      </c>
      <c r="C21" s="891"/>
      <c r="D21" s="891"/>
      <c r="E21" s="891"/>
      <c r="F21" s="896"/>
    </row>
    <row r="22" spans="1:6" ht="12.75">
      <c r="A22" s="692" t="s">
        <v>610</v>
      </c>
      <c r="B22" s="63">
        <v>150</v>
      </c>
      <c r="C22" s="891">
        <v>0</v>
      </c>
      <c r="D22" s="891">
        <v>0</v>
      </c>
      <c r="E22" s="891"/>
      <c r="F22" s="892"/>
    </row>
    <row r="23" spans="1:6" ht="12.75">
      <c r="A23" s="689" t="s">
        <v>1420</v>
      </c>
      <c r="B23" s="63">
        <v>160</v>
      </c>
      <c r="C23" s="891">
        <v>0</v>
      </c>
      <c r="D23" s="891">
        <f>C23</f>
        <v>0</v>
      </c>
      <c r="E23" s="891">
        <f>D23</f>
        <v>0</v>
      </c>
      <c r="F23" s="892">
        <f>E23</f>
        <v>0</v>
      </c>
    </row>
    <row r="24" spans="1:6" ht="13.5" customHeight="1">
      <c r="A24" s="691" t="s">
        <v>1421</v>
      </c>
      <c r="B24" s="54">
        <v>170</v>
      </c>
      <c r="C24" s="894">
        <f>C25+C26+C27+C28</f>
        <v>107704</v>
      </c>
      <c r="D24" s="894">
        <f>D25+D26+D27+D28</f>
        <v>204039</v>
      </c>
      <c r="E24" s="894">
        <f>E25+E26+E27+E28</f>
        <v>288776</v>
      </c>
      <c r="F24" s="895">
        <f>F25+F26+F27+F28</f>
        <v>360763</v>
      </c>
    </row>
    <row r="25" spans="1:6" ht="12.75">
      <c r="A25" s="692" t="s">
        <v>1422</v>
      </c>
      <c r="B25" s="63">
        <v>180</v>
      </c>
      <c r="C25" s="891">
        <v>107704</v>
      </c>
      <c r="D25" s="891">
        <f>C25+96335</f>
        <v>204039</v>
      </c>
      <c r="E25" s="891">
        <f>D25+84737</f>
        <v>288776</v>
      </c>
      <c r="F25" s="896">
        <v>360763</v>
      </c>
    </row>
    <row r="26" spans="1:6" ht="14.25" customHeight="1">
      <c r="A26" s="689" t="s">
        <v>1423</v>
      </c>
      <c r="B26" s="63">
        <v>190</v>
      </c>
      <c r="C26" s="891"/>
      <c r="D26" s="891"/>
      <c r="E26" s="891"/>
      <c r="F26" s="896"/>
    </row>
    <row r="27" spans="1:6" ht="12.75">
      <c r="A27" s="692" t="s">
        <v>612</v>
      </c>
      <c r="B27" s="63">
        <v>200</v>
      </c>
      <c r="C27" s="891"/>
      <c r="D27" s="891">
        <v>0</v>
      </c>
      <c r="E27" s="891"/>
      <c r="F27" s="892"/>
    </row>
    <row r="28" spans="1:6" ht="12.75">
      <c r="A28" s="689" t="s">
        <v>1424</v>
      </c>
      <c r="B28" s="63">
        <v>210</v>
      </c>
      <c r="C28" s="891"/>
      <c r="D28" s="891"/>
      <c r="E28" s="891"/>
      <c r="F28" s="896"/>
    </row>
    <row r="29" spans="1:6" ht="12.75" customHeight="1">
      <c r="A29" s="691" t="s">
        <v>1425</v>
      </c>
      <c r="B29" s="54">
        <v>220</v>
      </c>
      <c r="C29" s="894">
        <f>C17+C18-C24</f>
        <v>1590510</v>
      </c>
      <c r="D29" s="894">
        <f>D17+D18-D24</f>
        <v>3061634</v>
      </c>
      <c r="E29" s="894">
        <f>E17+E18-E24</f>
        <v>4681952</v>
      </c>
      <c r="F29" s="895">
        <f>F17+F18-F24</f>
        <v>5349154</v>
      </c>
    </row>
    <row r="30" spans="1:6" ht="12.75">
      <c r="A30" s="689" t="s">
        <v>1426</v>
      </c>
      <c r="B30" s="63">
        <v>230</v>
      </c>
      <c r="C30" s="891"/>
      <c r="D30" s="891"/>
      <c r="E30" s="891"/>
      <c r="F30" s="896"/>
    </row>
    <row r="31" spans="1:6" ht="13.5" customHeight="1">
      <c r="A31" s="691" t="s">
        <v>1427</v>
      </c>
      <c r="B31" s="54">
        <v>240</v>
      </c>
      <c r="C31" s="894">
        <f>C29+C30</f>
        <v>1590510</v>
      </c>
      <c r="D31" s="894">
        <f>D29+D30</f>
        <v>3061634</v>
      </c>
      <c r="E31" s="894">
        <f>E29+E30</f>
        <v>4681952</v>
      </c>
      <c r="F31" s="895">
        <f>F29+F30</f>
        <v>5349154</v>
      </c>
    </row>
    <row r="32" spans="1:6" ht="12.75">
      <c r="A32" s="689" t="s">
        <v>616</v>
      </c>
      <c r="B32" s="63">
        <v>250</v>
      </c>
      <c r="C32" s="891">
        <f>C31*0.075</f>
        <v>119288.25</v>
      </c>
      <c r="D32" s="891">
        <f>D31*0.075</f>
        <v>229622.55</v>
      </c>
      <c r="E32" s="891">
        <f>E31*0.075</f>
        <v>351146.39999999997</v>
      </c>
      <c r="F32" s="893">
        <f>F31*0.075</f>
        <v>401186.55</v>
      </c>
    </row>
    <row r="33" spans="1:6" ht="12.75">
      <c r="A33" s="689" t="s">
        <v>1428</v>
      </c>
      <c r="B33" s="63">
        <v>251</v>
      </c>
      <c r="C33" s="891"/>
      <c r="D33" s="891"/>
      <c r="E33" s="891"/>
      <c r="F33" s="896"/>
    </row>
    <row r="34" spans="1:6" ht="12.75">
      <c r="A34" s="689" t="s">
        <v>1429</v>
      </c>
      <c r="B34" s="63">
        <v>260</v>
      </c>
      <c r="C34" s="891">
        <f>(C31-C32)*0.08</f>
        <v>117697.74</v>
      </c>
      <c r="D34" s="891">
        <f>(D31-D32)*0.08</f>
        <v>226560.91600000003</v>
      </c>
      <c r="E34" s="891">
        <f>(E31-E32)*0.08</f>
        <v>346464.448</v>
      </c>
      <c r="F34" s="893">
        <f>(F31-F32)*0.08</f>
        <v>395837.396</v>
      </c>
    </row>
    <row r="35" spans="1:6" ht="13.5" thickBot="1">
      <c r="A35" s="694" t="s">
        <v>1430</v>
      </c>
      <c r="B35" s="695">
        <v>270</v>
      </c>
      <c r="C35" s="897">
        <f>C31-C32-C34</f>
        <v>1353524.01</v>
      </c>
      <c r="D35" s="897">
        <f>D31-D32-D34</f>
        <v>2605450.534</v>
      </c>
      <c r="E35" s="897">
        <f>E31-E32-E34</f>
        <v>3984341.152</v>
      </c>
      <c r="F35" s="898">
        <f>F31-F32-F34</f>
        <v>4552130.0540000005</v>
      </c>
    </row>
    <row r="37" spans="1:3" ht="12.75">
      <c r="A37" s="137" t="s">
        <v>349</v>
      </c>
      <c r="B37" s="163"/>
      <c r="C37" s="137" t="s">
        <v>350</v>
      </c>
    </row>
    <row r="38" spans="1:3" ht="12.75">
      <c r="A38" s="138" t="s">
        <v>351</v>
      </c>
      <c r="B38" s="163"/>
      <c r="C38" s="164"/>
    </row>
    <row r="39" spans="1:3" ht="12.75">
      <c r="A39" s="163"/>
      <c r="B39" s="163"/>
      <c r="C39" s="165"/>
    </row>
    <row r="40" spans="1:3" ht="12.75">
      <c r="A40" s="137" t="s">
        <v>1459</v>
      </c>
      <c r="B40" s="163"/>
      <c r="C40" s="137" t="s">
        <v>1448</v>
      </c>
    </row>
    <row r="41" spans="1:3" ht="12.75">
      <c r="A41" s="163"/>
      <c r="B41" s="163"/>
      <c r="C41" s="163"/>
    </row>
    <row r="42" spans="1:3" ht="12.75">
      <c r="A42" s="137" t="s">
        <v>1112</v>
      </c>
      <c r="B42" s="163"/>
      <c r="C42" s="137" t="s">
        <v>352</v>
      </c>
    </row>
  </sheetData>
  <sheetProtection/>
  <mergeCells count="6">
    <mergeCell ref="A1:F1"/>
    <mergeCell ref="A2:B2"/>
    <mergeCell ref="A3:B3"/>
    <mergeCell ref="A5:A6"/>
    <mergeCell ref="B5:B6"/>
    <mergeCell ref="C5:F5"/>
  </mergeCells>
  <printOptions/>
  <pageMargins left="0.7086614173228347" right="0.7086614173228347" top="0.49" bottom="0.35" header="0.31496062992125984" footer="0.31496062992125984"/>
  <pageSetup horizontalDpi="600" verticalDpi="600" orientation="landscape" paperSize="9" scale="11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3"/>
  <sheetViews>
    <sheetView zoomScalePageLayoutView="0" workbookViewId="0" topLeftCell="A1">
      <selection activeCell="G107" sqref="G107"/>
    </sheetView>
  </sheetViews>
  <sheetFormatPr defaultColWidth="9.00390625" defaultRowHeight="12.75"/>
  <cols>
    <col min="1" max="1" width="46.25390625" style="0" customWidth="1"/>
    <col min="2" max="2" width="4.125" style="0" customWidth="1"/>
    <col min="3" max="7" width="9.875" style="0" bestFit="1" customWidth="1"/>
  </cols>
  <sheetData>
    <row r="1" spans="1:7" ht="12.75">
      <c r="A1" s="29"/>
      <c r="B1" s="29"/>
      <c r="C1" s="29"/>
      <c r="D1" s="29"/>
      <c r="E1" s="29"/>
      <c r="F1" s="29"/>
      <c r="G1" s="866" t="s">
        <v>1306</v>
      </c>
    </row>
    <row r="2" spans="1:7" ht="15.75">
      <c r="A2" s="867" t="s">
        <v>1398</v>
      </c>
      <c r="B2" s="29"/>
      <c r="C2" s="29"/>
      <c r="D2" s="29"/>
      <c r="E2" s="29"/>
      <c r="F2" s="29"/>
      <c r="G2" s="29"/>
    </row>
    <row r="3" spans="1:7" ht="15.75">
      <c r="A3" s="867" t="s">
        <v>1276</v>
      </c>
      <c r="B3" s="29"/>
      <c r="C3" s="29"/>
      <c r="D3" s="29"/>
      <c r="E3" s="29"/>
      <c r="F3" s="29"/>
      <c r="G3" s="29"/>
    </row>
    <row r="4" spans="1:7" ht="12.75">
      <c r="A4" s="29"/>
      <c r="B4" s="29"/>
      <c r="C4" s="29"/>
      <c r="D4" s="29"/>
      <c r="E4" s="29"/>
      <c r="F4" s="29"/>
      <c r="G4" s="29"/>
    </row>
    <row r="5" spans="1:7" ht="26.25" customHeight="1">
      <c r="A5" s="35" t="s">
        <v>1307</v>
      </c>
      <c r="B5" s="35" t="s">
        <v>288</v>
      </c>
      <c r="C5" s="868">
        <v>42736</v>
      </c>
      <c r="D5" s="868">
        <v>42826</v>
      </c>
      <c r="E5" s="868">
        <v>42917</v>
      </c>
      <c r="F5" s="868">
        <v>43009</v>
      </c>
      <c r="G5" s="868">
        <v>43101</v>
      </c>
    </row>
    <row r="6" spans="1:7" ht="12.75">
      <c r="A6" s="37"/>
      <c r="B6" s="38">
        <v>2</v>
      </c>
      <c r="C6" s="38"/>
      <c r="D6" s="38"/>
      <c r="E6" s="38"/>
      <c r="F6" s="38"/>
      <c r="G6" s="38"/>
    </row>
    <row r="7" spans="1:7" ht="12.75">
      <c r="A7" s="1409" t="s">
        <v>292</v>
      </c>
      <c r="B7" s="1410"/>
      <c r="C7" s="1410"/>
      <c r="D7" s="1410"/>
      <c r="E7" s="1410"/>
      <c r="F7" s="1410"/>
      <c r="G7" s="1410"/>
    </row>
    <row r="8" spans="1:7" ht="12.75">
      <c r="A8" s="869" t="s">
        <v>1308</v>
      </c>
      <c r="B8" s="40"/>
      <c r="C8" s="40"/>
      <c r="D8" s="40"/>
      <c r="E8" s="40"/>
      <c r="F8" s="40"/>
      <c r="G8" s="40"/>
    </row>
    <row r="9" spans="1:7" ht="25.5">
      <c r="A9" s="870" t="s">
        <v>1309</v>
      </c>
      <c r="B9" s="42">
        <v>10</v>
      </c>
      <c r="C9" s="46">
        <v>17297024</v>
      </c>
      <c r="D9" s="46">
        <v>17872524</v>
      </c>
      <c r="E9" s="46">
        <v>18401128</v>
      </c>
      <c r="F9" s="46">
        <v>18835103</v>
      </c>
      <c r="G9" s="46">
        <v>22865813</v>
      </c>
    </row>
    <row r="10" spans="1:7" ht="12.75">
      <c r="A10" s="870" t="s">
        <v>1310</v>
      </c>
      <c r="B10" s="42">
        <v>11</v>
      </c>
      <c r="C10" s="46">
        <v>8410396</v>
      </c>
      <c r="D10" s="46">
        <v>8582451</v>
      </c>
      <c r="E10" s="46">
        <v>8771861</v>
      </c>
      <c r="F10" s="46">
        <v>8921975</v>
      </c>
      <c r="G10" s="46">
        <v>10174336</v>
      </c>
    </row>
    <row r="11" spans="1:7" ht="12.75">
      <c r="A11" s="43" t="s">
        <v>1311</v>
      </c>
      <c r="B11" s="42">
        <v>12</v>
      </c>
      <c r="C11" s="46">
        <f>C9-C10</f>
        <v>8886628</v>
      </c>
      <c r="D11" s="46">
        <f>D9-D10</f>
        <v>9290073</v>
      </c>
      <c r="E11" s="46">
        <f>E9-E10</f>
        <v>9629267</v>
      </c>
      <c r="F11" s="46">
        <f>F9-F10</f>
        <v>9913128</v>
      </c>
      <c r="G11" s="46">
        <f>G9-G10+1</f>
        <v>12691478</v>
      </c>
    </row>
    <row r="12" spans="1:7" ht="12.75">
      <c r="A12" s="44" t="s">
        <v>1312</v>
      </c>
      <c r="B12" s="45"/>
      <c r="C12" s="46"/>
      <c r="D12" s="46"/>
      <c r="E12" s="46"/>
      <c r="F12" s="46"/>
      <c r="G12" s="46"/>
    </row>
    <row r="13" spans="1:7" ht="12.75">
      <c r="A13" s="43" t="s">
        <v>1313</v>
      </c>
      <c r="B13" s="42">
        <v>20</v>
      </c>
      <c r="C13" s="46">
        <v>22367</v>
      </c>
      <c r="D13" s="46">
        <v>22367</v>
      </c>
      <c r="E13" s="46">
        <v>22367</v>
      </c>
      <c r="F13" s="46">
        <v>22367</v>
      </c>
      <c r="G13" s="46">
        <v>22367</v>
      </c>
    </row>
    <row r="14" spans="1:7" ht="12.75">
      <c r="A14" s="43" t="s">
        <v>1314</v>
      </c>
      <c r="B14" s="42">
        <v>21</v>
      </c>
      <c r="C14" s="46">
        <v>13828</v>
      </c>
      <c r="D14" s="46">
        <f>C14+373</f>
        <v>14201</v>
      </c>
      <c r="E14" s="46">
        <f>D14+373</f>
        <v>14574</v>
      </c>
      <c r="F14" s="46">
        <f>E14+373</f>
        <v>14947</v>
      </c>
      <c r="G14" s="46">
        <f>F14+373</f>
        <v>15320</v>
      </c>
    </row>
    <row r="15" spans="1:7" ht="12.75">
      <c r="A15" s="43" t="s">
        <v>1315</v>
      </c>
      <c r="B15" s="42">
        <v>22</v>
      </c>
      <c r="C15" s="46">
        <f>C13-C14</f>
        <v>8539</v>
      </c>
      <c r="D15" s="46">
        <f>D13-D14</f>
        <v>8166</v>
      </c>
      <c r="E15" s="46">
        <f>E13-E14</f>
        <v>7793</v>
      </c>
      <c r="F15" s="46">
        <f>F13-F14</f>
        <v>7420</v>
      </c>
      <c r="G15" s="46">
        <f>G13-G14</f>
        <v>7047</v>
      </c>
    </row>
    <row r="16" spans="1:7" ht="25.5">
      <c r="A16" s="869" t="s">
        <v>1316</v>
      </c>
      <c r="B16" s="112">
        <v>30</v>
      </c>
      <c r="C16" s="871">
        <f>C17+C18+C19+C20+C21</f>
        <v>384898</v>
      </c>
      <c r="D16" s="871">
        <v>384898</v>
      </c>
      <c r="E16" s="871">
        <f>E17+E18+E19+E20+E21</f>
        <v>384898</v>
      </c>
      <c r="F16" s="871">
        <f>F17+F18+F19+F20+F21</f>
        <v>384898</v>
      </c>
      <c r="G16" s="871">
        <f>G17+G18+G19+G20+G21</f>
        <v>384898</v>
      </c>
    </row>
    <row r="17" spans="1:7" ht="12.75">
      <c r="A17" s="43" t="s">
        <v>1317</v>
      </c>
      <c r="B17" s="42">
        <v>40</v>
      </c>
      <c r="C17" s="46"/>
      <c r="D17" s="46"/>
      <c r="E17" s="46"/>
      <c r="F17" s="46"/>
      <c r="G17" s="46"/>
    </row>
    <row r="18" spans="1:7" ht="12.75">
      <c r="A18" s="43" t="s">
        <v>1318</v>
      </c>
      <c r="B18" s="42">
        <v>50</v>
      </c>
      <c r="C18" s="46"/>
      <c r="D18" s="46"/>
      <c r="E18" s="46"/>
      <c r="F18" s="46"/>
      <c r="G18" s="46"/>
    </row>
    <row r="19" spans="1:7" ht="25.5">
      <c r="A19" s="43" t="s">
        <v>1319</v>
      </c>
      <c r="B19" s="42">
        <v>60</v>
      </c>
      <c r="C19" s="46"/>
      <c r="D19" s="46"/>
      <c r="E19" s="46"/>
      <c r="F19" s="46"/>
      <c r="G19" s="46"/>
    </row>
    <row r="20" spans="1:7" ht="25.5">
      <c r="A20" s="43" t="s">
        <v>1320</v>
      </c>
      <c r="B20" s="42">
        <v>70</v>
      </c>
      <c r="C20" s="46"/>
      <c r="D20" s="46"/>
      <c r="E20" s="46"/>
      <c r="F20" s="46"/>
      <c r="G20" s="46"/>
    </row>
    <row r="21" spans="1:7" ht="12.75">
      <c r="A21" s="43" t="s">
        <v>1321</v>
      </c>
      <c r="B21" s="42">
        <v>80</v>
      </c>
      <c r="C21" s="46">
        <v>384898</v>
      </c>
      <c r="D21" s="46">
        <v>384898</v>
      </c>
      <c r="E21" s="46">
        <v>384898</v>
      </c>
      <c r="F21" s="46">
        <v>384898</v>
      </c>
      <c r="G21" s="46">
        <v>384898</v>
      </c>
    </row>
    <row r="22" spans="1:7" ht="12.75">
      <c r="A22" s="43" t="s">
        <v>1322</v>
      </c>
      <c r="B22" s="42">
        <v>90</v>
      </c>
      <c r="C22" s="46"/>
      <c r="D22" s="46"/>
      <c r="E22" s="46"/>
      <c r="F22" s="46"/>
      <c r="G22" s="46"/>
    </row>
    <row r="23" spans="1:7" ht="12.75">
      <c r="A23" s="43" t="s">
        <v>1323</v>
      </c>
      <c r="B23" s="38">
        <v>100</v>
      </c>
      <c r="C23" s="46">
        <v>6649</v>
      </c>
      <c r="D23" s="46">
        <v>36649</v>
      </c>
      <c r="E23" s="46">
        <v>6649</v>
      </c>
      <c r="F23" s="46">
        <v>6649</v>
      </c>
      <c r="G23" s="46">
        <v>0</v>
      </c>
    </row>
    <row r="24" spans="1:7" ht="25.5">
      <c r="A24" s="43" t="s">
        <v>1324</v>
      </c>
      <c r="B24" s="38">
        <v>110</v>
      </c>
      <c r="C24" s="46"/>
      <c r="D24" s="46"/>
      <c r="E24" s="46"/>
      <c r="F24" s="46"/>
      <c r="G24" s="46"/>
    </row>
    <row r="25" spans="1:7" ht="12.75">
      <c r="A25" s="43" t="s">
        <v>1325</v>
      </c>
      <c r="B25" s="110">
        <v>111</v>
      </c>
      <c r="C25" s="872"/>
      <c r="D25" s="872"/>
      <c r="E25" s="872"/>
      <c r="F25" s="872"/>
      <c r="G25" s="872"/>
    </row>
    <row r="26" spans="1:7" ht="12.75">
      <c r="A26" s="43" t="s">
        <v>1326</v>
      </c>
      <c r="B26" s="38">
        <v>120</v>
      </c>
      <c r="C26" s="46"/>
      <c r="D26" s="46"/>
      <c r="E26" s="46"/>
      <c r="F26" s="46"/>
      <c r="G26" s="46"/>
    </row>
    <row r="27" spans="1:7" ht="25.5">
      <c r="A27" s="873" t="s">
        <v>1327</v>
      </c>
      <c r="B27" s="874">
        <v>130</v>
      </c>
      <c r="C27" s="875">
        <f>C11+C15+C16+C22+C23+C24+C26</f>
        <v>9286714</v>
      </c>
      <c r="D27" s="875">
        <f>D11+D15+D16+D22+D23+D24+D26</f>
        <v>9719786</v>
      </c>
      <c r="E27" s="875">
        <f>E11+E15+E16+E22+E23+E24+E26</f>
        <v>10028607</v>
      </c>
      <c r="F27" s="875">
        <f>F11+F15+F16+F22+F23+F24+F26</f>
        <v>10312095</v>
      </c>
      <c r="G27" s="875">
        <f>G11+G15+G16+G22+G23+G24+G26</f>
        <v>13083423</v>
      </c>
    </row>
    <row r="28" spans="1:7" ht="12.75">
      <c r="A28" s="1411" t="s">
        <v>1328</v>
      </c>
      <c r="B28" s="1412"/>
      <c r="C28" s="1412"/>
      <c r="D28" s="1412"/>
      <c r="E28" s="1412"/>
      <c r="F28" s="1412"/>
      <c r="G28" s="1412"/>
    </row>
    <row r="29" spans="1:7" ht="25.5">
      <c r="A29" s="48" t="s">
        <v>1329</v>
      </c>
      <c r="B29" s="111">
        <v>140</v>
      </c>
      <c r="C29" s="876">
        <f>C30+C31+C32+C33</f>
        <v>1794476</v>
      </c>
      <c r="D29" s="876">
        <f>D30+D31+D32+D33</f>
        <v>1703102</v>
      </c>
      <c r="E29" s="876">
        <f>E30+E31+E32+E33</f>
        <v>1885393</v>
      </c>
      <c r="F29" s="876">
        <f>F30+F31+F32+F33</f>
        <v>1701000</v>
      </c>
      <c r="G29" s="876">
        <f>G30+G31+G32+G33</f>
        <v>1506529</v>
      </c>
    </row>
    <row r="30" spans="1:7" ht="12.75">
      <c r="A30" s="43" t="s">
        <v>1330</v>
      </c>
      <c r="B30" s="38">
        <v>150</v>
      </c>
      <c r="C30" s="46">
        <v>1472752</v>
      </c>
      <c r="D30" s="46">
        <v>1326291</v>
      </c>
      <c r="E30" s="46">
        <v>1370973</v>
      </c>
      <c r="F30" s="46">
        <v>1211000</v>
      </c>
      <c r="G30" s="46">
        <v>1121529</v>
      </c>
    </row>
    <row r="31" spans="1:7" ht="12.75">
      <c r="A31" s="43" t="s">
        <v>1331</v>
      </c>
      <c r="B31" s="38">
        <v>160</v>
      </c>
      <c r="C31" s="46">
        <v>221944</v>
      </c>
      <c r="D31" s="46">
        <v>243011</v>
      </c>
      <c r="E31" s="46">
        <v>289420</v>
      </c>
      <c r="F31" s="46">
        <v>245000</v>
      </c>
      <c r="G31" s="46">
        <v>210000</v>
      </c>
    </row>
    <row r="32" spans="1:7" ht="12.75">
      <c r="A32" s="43" t="s">
        <v>1332</v>
      </c>
      <c r="B32" s="38">
        <v>170</v>
      </c>
      <c r="C32" s="46">
        <v>99780</v>
      </c>
      <c r="D32" s="46">
        <v>133800</v>
      </c>
      <c r="E32" s="46">
        <v>225000</v>
      </c>
      <c r="F32" s="46">
        <v>245000</v>
      </c>
      <c r="G32" s="46">
        <v>175000</v>
      </c>
    </row>
    <row r="33" spans="1:7" ht="12.75">
      <c r="A33" s="43" t="s">
        <v>1333</v>
      </c>
      <c r="B33" s="38">
        <v>180</v>
      </c>
      <c r="C33" s="46"/>
      <c r="D33" s="46"/>
      <c r="E33" s="46"/>
      <c r="F33" s="46"/>
      <c r="G33" s="46"/>
    </row>
    <row r="34" spans="1:7" ht="12.75">
      <c r="A34" s="43" t="s">
        <v>1334</v>
      </c>
      <c r="B34" s="38">
        <v>190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</row>
    <row r="35" spans="1:7" ht="12.75">
      <c r="A35" s="43" t="s">
        <v>1335</v>
      </c>
      <c r="B35" s="38">
        <v>200</v>
      </c>
      <c r="C35" s="46"/>
      <c r="D35" s="46"/>
      <c r="E35" s="46"/>
      <c r="F35" s="46"/>
      <c r="G35" s="46"/>
    </row>
    <row r="36" spans="1:7" ht="25.5">
      <c r="A36" s="44" t="s">
        <v>1336</v>
      </c>
      <c r="B36" s="49">
        <v>210</v>
      </c>
      <c r="C36" s="871">
        <f>C38+C39+C40+C41+C42+C43+C44+C45+C46+C47</f>
        <v>2088326</v>
      </c>
      <c r="D36" s="871">
        <f>D38+D39+D40+D41+D42+D43+D44+D45+D46+D47</f>
        <v>2177898</v>
      </c>
      <c r="E36" s="871">
        <f>E38+E39+E40+E41+E42+E43+E44+E45+E46+E47</f>
        <v>2380576</v>
      </c>
      <c r="F36" s="871">
        <f>F38+F39+F40+F41+F42+F43+F44+F45+F46+F47</f>
        <v>1712034</v>
      </c>
      <c r="G36" s="871">
        <f>G38+G39+G40+G41+G42+G43+G44+G45+G46+G47</f>
        <v>1660472</v>
      </c>
    </row>
    <row r="37" spans="1:7" ht="12.75">
      <c r="A37" s="43" t="s">
        <v>1325</v>
      </c>
      <c r="B37" s="49"/>
      <c r="C37" s="871"/>
      <c r="D37" s="871"/>
      <c r="E37" s="871"/>
      <c r="F37" s="871"/>
      <c r="G37" s="871"/>
    </row>
    <row r="38" spans="1:7" ht="25.5">
      <c r="A38" s="43" t="s">
        <v>1337</v>
      </c>
      <c r="B38" s="38">
        <v>220</v>
      </c>
      <c r="C38" s="46">
        <v>13857</v>
      </c>
      <c r="D38" s="46">
        <v>188277</v>
      </c>
      <c r="E38" s="46">
        <v>192864</v>
      </c>
      <c r="F38" s="46">
        <v>209969</v>
      </c>
      <c r="G38" s="46">
        <v>207416</v>
      </c>
    </row>
    <row r="39" spans="1:7" ht="12.75">
      <c r="A39" s="43" t="s">
        <v>1338</v>
      </c>
      <c r="B39" s="38">
        <v>230</v>
      </c>
      <c r="C39" s="46"/>
      <c r="D39" s="46"/>
      <c r="E39" s="46"/>
      <c r="F39" s="46"/>
      <c r="G39" s="46"/>
    </row>
    <row r="40" spans="1:7" ht="25.5">
      <c r="A40" s="43" t="s">
        <v>1339</v>
      </c>
      <c r="B40" s="38">
        <v>240</v>
      </c>
      <c r="C40" s="46"/>
      <c r="D40" s="46"/>
      <c r="E40" s="46"/>
      <c r="F40" s="46"/>
      <c r="G40" s="46"/>
    </row>
    <row r="41" spans="1:7" ht="12.75">
      <c r="A41" s="43" t="s">
        <v>1340</v>
      </c>
      <c r="B41" s="38">
        <v>250</v>
      </c>
      <c r="C41" s="46">
        <v>2323</v>
      </c>
      <c r="D41" s="46">
        <v>1900</v>
      </c>
      <c r="E41" s="46">
        <v>1000</v>
      </c>
      <c r="F41" s="46">
        <v>1000</v>
      </c>
      <c r="G41" s="46">
        <v>1000</v>
      </c>
    </row>
    <row r="42" spans="1:7" ht="12.75">
      <c r="A42" s="43" t="s">
        <v>1341</v>
      </c>
      <c r="B42" s="38">
        <v>260</v>
      </c>
      <c r="C42" s="46">
        <v>1640000</v>
      </c>
      <c r="D42" s="46">
        <v>1499646</v>
      </c>
      <c r="E42" s="46">
        <v>1429073</v>
      </c>
      <c r="F42" s="46">
        <v>1052862</v>
      </c>
      <c r="G42" s="46">
        <v>1051703</v>
      </c>
    </row>
    <row r="43" spans="1:7" ht="25.5">
      <c r="A43" s="43" t="s">
        <v>1342</v>
      </c>
      <c r="B43" s="38">
        <v>270</v>
      </c>
      <c r="C43" s="46">
        <v>55000</v>
      </c>
      <c r="D43" s="46">
        <v>120000</v>
      </c>
      <c r="E43" s="46">
        <v>292000</v>
      </c>
      <c r="F43" s="46">
        <v>78000</v>
      </c>
      <c r="G43" s="46">
        <v>56000</v>
      </c>
    </row>
    <row r="44" spans="1:7" ht="25.5">
      <c r="A44" s="43" t="s">
        <v>1343</v>
      </c>
      <c r="B44" s="38">
        <v>280</v>
      </c>
      <c r="C44" s="46">
        <v>0</v>
      </c>
      <c r="D44" s="46">
        <v>0</v>
      </c>
      <c r="E44" s="46">
        <v>0</v>
      </c>
      <c r="F44" s="46">
        <v>0</v>
      </c>
      <c r="G44" s="46"/>
    </row>
    <row r="45" spans="1:7" ht="25.5">
      <c r="A45" s="43" t="s">
        <v>1344</v>
      </c>
      <c r="B45" s="38">
        <v>290</v>
      </c>
      <c r="C45" s="46"/>
      <c r="D45" s="46"/>
      <c r="E45" s="46"/>
      <c r="F45" s="46"/>
      <c r="G45" s="46"/>
    </row>
    <row r="46" spans="1:7" ht="25.5">
      <c r="A46" s="43" t="s">
        <v>1345</v>
      </c>
      <c r="B46" s="38">
        <v>300</v>
      </c>
      <c r="C46" s="46">
        <v>267800</v>
      </c>
      <c r="D46" s="46">
        <v>262800</v>
      </c>
      <c r="E46" s="46">
        <v>257800</v>
      </c>
      <c r="F46" s="46">
        <v>252800</v>
      </c>
      <c r="G46" s="46">
        <v>247800</v>
      </c>
    </row>
    <row r="47" spans="1:7" ht="12.75">
      <c r="A47" s="43" t="s">
        <v>1346</v>
      </c>
      <c r="B47" s="38">
        <v>310</v>
      </c>
      <c r="C47" s="46">
        <v>109346</v>
      </c>
      <c r="D47" s="46">
        <v>105275</v>
      </c>
      <c r="E47" s="46">
        <v>207839</v>
      </c>
      <c r="F47" s="46">
        <v>117403</v>
      </c>
      <c r="G47" s="46">
        <v>96553</v>
      </c>
    </row>
    <row r="48" spans="1:7" ht="25.5">
      <c r="A48" s="44" t="s">
        <v>1347</v>
      </c>
      <c r="B48" s="49">
        <v>320</v>
      </c>
      <c r="C48" s="871">
        <f>C49+C50+C51+C52</f>
        <v>5851600</v>
      </c>
      <c r="D48" s="871">
        <f>D49+D50+D51+D52</f>
        <v>5980337</v>
      </c>
      <c r="E48" s="871">
        <f>E49+E50+E51+E52</f>
        <v>6153000</v>
      </c>
      <c r="F48" s="871">
        <f>F49+F50+F51+F52</f>
        <v>5840502</v>
      </c>
      <c r="G48" s="871">
        <f>G49+G50+G51+G52</f>
        <v>3525508</v>
      </c>
    </row>
    <row r="49" spans="1:7" ht="12.75">
      <c r="A49" s="43" t="s">
        <v>1348</v>
      </c>
      <c r="B49" s="38">
        <v>330</v>
      </c>
      <c r="C49" s="46"/>
      <c r="D49" s="46"/>
      <c r="E49" s="46"/>
      <c r="F49" s="46"/>
      <c r="G49" s="46"/>
    </row>
    <row r="50" spans="1:7" ht="12.75">
      <c r="A50" s="43" t="s">
        <v>1349</v>
      </c>
      <c r="B50" s="38">
        <v>340</v>
      </c>
      <c r="C50" s="46">
        <v>5850000</v>
      </c>
      <c r="D50" s="46">
        <v>5978837</v>
      </c>
      <c r="E50" s="46">
        <v>6150000</v>
      </c>
      <c r="F50" s="46">
        <v>5838502</v>
      </c>
      <c r="G50" s="46">
        <v>3523708</v>
      </c>
    </row>
    <row r="51" spans="1:7" ht="12.75">
      <c r="A51" s="43" t="s">
        <v>1350</v>
      </c>
      <c r="B51" s="38">
        <v>350</v>
      </c>
      <c r="C51" s="46"/>
      <c r="D51" s="46"/>
      <c r="E51" s="46"/>
      <c r="F51" s="46"/>
      <c r="G51" s="46"/>
    </row>
    <row r="52" spans="1:7" ht="25.5">
      <c r="A52" s="43" t="s">
        <v>1351</v>
      </c>
      <c r="B52" s="38">
        <v>360</v>
      </c>
      <c r="C52" s="46">
        <v>1600</v>
      </c>
      <c r="D52" s="46">
        <v>1500</v>
      </c>
      <c r="E52" s="46">
        <v>3000</v>
      </c>
      <c r="F52" s="46">
        <v>2000</v>
      </c>
      <c r="G52" s="46">
        <v>1800</v>
      </c>
    </row>
    <row r="53" spans="1:7" ht="12.75">
      <c r="A53" s="43" t="s">
        <v>1352</v>
      </c>
      <c r="B53" s="38">
        <v>370</v>
      </c>
      <c r="C53" s="46"/>
      <c r="D53" s="46"/>
      <c r="E53" s="46"/>
      <c r="F53" s="46"/>
      <c r="G53" s="46"/>
    </row>
    <row r="54" spans="1:7" ht="12.75">
      <c r="A54" s="43" t="s">
        <v>1353</v>
      </c>
      <c r="B54" s="38">
        <v>380</v>
      </c>
      <c r="C54" s="46"/>
      <c r="D54" s="46"/>
      <c r="E54" s="46"/>
      <c r="F54" s="46"/>
      <c r="G54" s="46"/>
    </row>
    <row r="55" spans="1:7" ht="25.5">
      <c r="A55" s="44" t="s">
        <v>1354</v>
      </c>
      <c r="B55" s="49">
        <v>390</v>
      </c>
      <c r="C55" s="871">
        <f>C29+C34+C35+C36+C39+C48+C53+C54</f>
        <v>9734402</v>
      </c>
      <c r="D55" s="871">
        <f>D29+D34+D35+D36+D39+D48+D53+D54</f>
        <v>9861337</v>
      </c>
      <c r="E55" s="871">
        <f>E29+E34+E35+E36+E39+E48+E53+E54</f>
        <v>10418969</v>
      </c>
      <c r="F55" s="871">
        <f>F29+F34+F35+F36+F39+F48+F53+F54</f>
        <v>9253536</v>
      </c>
      <c r="G55" s="871">
        <f>G29+G34+G35+G36+G39+G48+G53+G54</f>
        <v>6692509</v>
      </c>
    </row>
    <row r="56" spans="1:7" ht="12.75">
      <c r="A56" s="44" t="s">
        <v>1355</v>
      </c>
      <c r="B56" s="49">
        <v>400</v>
      </c>
      <c r="C56" s="871">
        <f>C27+C55</f>
        <v>19021116</v>
      </c>
      <c r="D56" s="871">
        <f>D27+D55</f>
        <v>19581123</v>
      </c>
      <c r="E56" s="871">
        <f>E27+E55</f>
        <v>20447576</v>
      </c>
      <c r="F56" s="871">
        <f>F27+F55</f>
        <v>19565631</v>
      </c>
      <c r="G56" s="871">
        <f>G27+G55</f>
        <v>19775932</v>
      </c>
    </row>
    <row r="57" spans="1:7" ht="25.5">
      <c r="A57" s="35" t="s">
        <v>1307</v>
      </c>
      <c r="B57" s="35" t="s">
        <v>288</v>
      </c>
      <c r="C57" s="35"/>
      <c r="D57" s="35"/>
      <c r="E57" s="35"/>
      <c r="F57" s="35"/>
      <c r="G57" s="35"/>
    </row>
    <row r="58" spans="1:7" ht="12.75">
      <c r="A58" s="37"/>
      <c r="B58" s="38">
        <v>2</v>
      </c>
      <c r="C58" s="38"/>
      <c r="D58" s="38"/>
      <c r="E58" s="38"/>
      <c r="F58" s="38"/>
      <c r="G58" s="38"/>
    </row>
    <row r="59" spans="1:7" ht="12.75">
      <c r="A59" s="1409" t="s">
        <v>38</v>
      </c>
      <c r="B59" s="1410"/>
      <c r="C59" s="1410"/>
      <c r="D59" s="1410"/>
      <c r="E59" s="1410"/>
      <c r="F59" s="1410"/>
      <c r="G59" s="1410"/>
    </row>
    <row r="60" spans="1:7" ht="12.75">
      <c r="A60" s="43" t="s">
        <v>1356</v>
      </c>
      <c r="B60" s="38">
        <v>410</v>
      </c>
      <c r="C60" s="46">
        <v>4784872</v>
      </c>
      <c r="D60" s="46">
        <v>4784872</v>
      </c>
      <c r="E60" s="46">
        <v>4784872</v>
      </c>
      <c r="F60" s="46">
        <v>4784872</v>
      </c>
      <c r="G60" s="46">
        <v>4782872</v>
      </c>
    </row>
    <row r="61" spans="1:7" ht="12.75">
      <c r="A61" s="43" t="s">
        <v>1357</v>
      </c>
      <c r="B61" s="38">
        <v>420</v>
      </c>
      <c r="C61" s="46"/>
      <c r="D61" s="46"/>
      <c r="E61" s="46"/>
      <c r="F61" s="46"/>
      <c r="G61" s="46"/>
    </row>
    <row r="62" spans="1:7" ht="12.75">
      <c r="A62" s="43" t="s">
        <v>1358</v>
      </c>
      <c r="B62" s="38">
        <v>430</v>
      </c>
      <c r="C62" s="46">
        <v>4150545</v>
      </c>
      <c r="D62" s="46">
        <v>4150545</v>
      </c>
      <c r="E62" s="46">
        <v>4150545</v>
      </c>
      <c r="F62" s="46">
        <v>4150545</v>
      </c>
      <c r="G62" s="46">
        <f>4150545+1090</f>
        <v>4151635</v>
      </c>
    </row>
    <row r="63" spans="1:7" ht="12.75">
      <c r="A63" s="43" t="s">
        <v>1359</v>
      </c>
      <c r="B63" s="38">
        <v>440</v>
      </c>
      <c r="C63" s="46"/>
      <c r="D63" s="46"/>
      <c r="E63" s="46"/>
      <c r="F63" s="46"/>
      <c r="G63" s="46"/>
    </row>
    <row r="64" spans="1:7" ht="25.5">
      <c r="A64" s="43" t="s">
        <v>1360</v>
      </c>
      <c r="B64" s="38">
        <v>450</v>
      </c>
      <c r="C64" s="46">
        <v>5548689</v>
      </c>
      <c r="D64" s="46">
        <v>6902213</v>
      </c>
      <c r="E64" s="46">
        <v>8154140</v>
      </c>
      <c r="F64" s="46">
        <v>7319135</v>
      </c>
      <c r="G64" s="46">
        <v>7886923</v>
      </c>
    </row>
    <row r="65" spans="1:7" ht="12.75">
      <c r="A65" s="43" t="s">
        <v>1361</v>
      </c>
      <c r="B65" s="38">
        <v>460</v>
      </c>
      <c r="C65" s="46"/>
      <c r="D65" s="46"/>
      <c r="E65" s="46"/>
      <c r="F65" s="46"/>
      <c r="G65" s="46"/>
    </row>
    <row r="66" spans="1:7" ht="12.75">
      <c r="A66" s="43" t="s">
        <v>1362</v>
      </c>
      <c r="B66" s="38">
        <v>470</v>
      </c>
      <c r="C66" s="46"/>
      <c r="D66" s="46"/>
      <c r="E66" s="46"/>
      <c r="F66" s="46"/>
      <c r="G66" s="46"/>
    </row>
    <row r="67" spans="1:7" ht="25.5">
      <c r="A67" s="44" t="s">
        <v>1363</v>
      </c>
      <c r="B67" s="49">
        <v>480</v>
      </c>
      <c r="C67" s="871">
        <f>C60+C61+C62-C63+C64+C65+C66</f>
        <v>14484106</v>
      </c>
      <c r="D67" s="871">
        <f>SUM(D60:D66)</f>
        <v>15837630</v>
      </c>
      <c r="E67" s="871">
        <f>SUM(E60:E66)</f>
        <v>17089557</v>
      </c>
      <c r="F67" s="871">
        <f>SUM(F60:F66)</f>
        <v>16254552</v>
      </c>
      <c r="G67" s="871">
        <f>SUM(G60:G66)</f>
        <v>16821430</v>
      </c>
    </row>
    <row r="68" spans="1:7" ht="12.75">
      <c r="A68" s="1409" t="s">
        <v>1364</v>
      </c>
      <c r="B68" s="1410"/>
      <c r="C68" s="1410"/>
      <c r="D68" s="1410"/>
      <c r="E68" s="1410"/>
      <c r="F68" s="1410"/>
      <c r="G68" s="1410"/>
    </row>
    <row r="69" spans="1:7" ht="25.5">
      <c r="A69" s="43" t="s">
        <v>1365</v>
      </c>
      <c r="B69" s="38">
        <v>490</v>
      </c>
      <c r="C69" s="871">
        <f>C79</f>
        <v>3330000</v>
      </c>
      <c r="D69" s="871">
        <f>D79</f>
        <v>2910000</v>
      </c>
      <c r="E69" s="871">
        <f>E79</f>
        <v>2490000</v>
      </c>
      <c r="F69" s="871">
        <f>F79</f>
        <v>2070000</v>
      </c>
      <c r="G69" s="871">
        <f>G79</f>
        <v>1650000</v>
      </c>
    </row>
    <row r="70" spans="1:7" ht="25.5">
      <c r="A70" s="43" t="s">
        <v>1366</v>
      </c>
      <c r="B70" s="38">
        <v>491</v>
      </c>
      <c r="C70" s="46">
        <f>C72+C74+C76+C78+C81</f>
        <v>0</v>
      </c>
      <c r="D70" s="46">
        <f>D72+D74+D76+D78+D81</f>
        <v>0</v>
      </c>
      <c r="E70" s="46">
        <f>E72+E74+E76+E78+E81</f>
        <v>0</v>
      </c>
      <c r="F70" s="46">
        <f>F72+F74+F76+F78+F81</f>
        <v>0</v>
      </c>
      <c r="G70" s="46">
        <f>G72+G74+G76+G78+G81</f>
        <v>0</v>
      </c>
    </row>
    <row r="71" spans="1:7" ht="25.5">
      <c r="A71" s="43" t="s">
        <v>1367</v>
      </c>
      <c r="B71" s="38">
        <v>492</v>
      </c>
      <c r="C71" s="46"/>
      <c r="D71" s="46"/>
      <c r="E71" s="46"/>
      <c r="F71" s="46"/>
      <c r="G71" s="46"/>
    </row>
    <row r="72" spans="1:7" ht="25.5">
      <c r="A72" s="43" t="s">
        <v>1368</v>
      </c>
      <c r="B72" s="38">
        <v>500</v>
      </c>
      <c r="C72" s="46"/>
      <c r="D72" s="46"/>
      <c r="E72" s="46"/>
      <c r="F72" s="46"/>
      <c r="G72" s="46"/>
    </row>
    <row r="73" spans="1:7" ht="25.5">
      <c r="A73" s="43" t="s">
        <v>1369</v>
      </c>
      <c r="B73" s="38">
        <v>510</v>
      </c>
      <c r="C73" s="46"/>
      <c r="D73" s="46"/>
      <c r="E73" s="46"/>
      <c r="F73" s="46"/>
      <c r="G73" s="46"/>
    </row>
    <row r="74" spans="1:7" ht="25.5">
      <c r="A74" s="43" t="s">
        <v>1370</v>
      </c>
      <c r="B74" s="38">
        <v>520</v>
      </c>
      <c r="C74" s="46"/>
      <c r="D74" s="46"/>
      <c r="E74" s="46"/>
      <c r="F74" s="46"/>
      <c r="G74" s="46"/>
    </row>
    <row r="75" spans="1:7" ht="12.75">
      <c r="A75" s="43" t="s">
        <v>1371</v>
      </c>
      <c r="B75" s="38">
        <v>530</v>
      </c>
      <c r="C75" s="46"/>
      <c r="D75" s="46"/>
      <c r="E75" s="46"/>
      <c r="F75" s="46"/>
      <c r="G75" s="46"/>
    </row>
    <row r="76" spans="1:7" ht="25.5">
      <c r="A76" s="43" t="s">
        <v>1372</v>
      </c>
      <c r="B76" s="38">
        <v>540</v>
      </c>
      <c r="C76" s="46"/>
      <c r="D76" s="46"/>
      <c r="E76" s="46"/>
      <c r="F76" s="46"/>
      <c r="G76" s="46"/>
    </row>
    <row r="77" spans="1:7" ht="25.5">
      <c r="A77" s="43" t="s">
        <v>1373</v>
      </c>
      <c r="B77" s="38">
        <v>550</v>
      </c>
      <c r="C77" s="46"/>
      <c r="D77" s="46"/>
      <c r="E77" s="46"/>
      <c r="F77" s="46"/>
      <c r="G77" s="46"/>
    </row>
    <row r="78" spans="1:7" ht="25.5">
      <c r="A78" s="43" t="s">
        <v>1374</v>
      </c>
      <c r="B78" s="38">
        <v>560</v>
      </c>
      <c r="C78" s="46"/>
      <c r="D78" s="46"/>
      <c r="E78" s="46"/>
      <c r="F78" s="46"/>
      <c r="G78" s="46"/>
    </row>
    <row r="79" spans="1:7" ht="12.75">
      <c r="A79" s="43" t="s">
        <v>1375</v>
      </c>
      <c r="B79" s="38">
        <v>570</v>
      </c>
      <c r="C79" s="46">
        <v>3330000</v>
      </c>
      <c r="D79" s="46">
        <v>2910000</v>
      </c>
      <c r="E79" s="46">
        <v>2490000</v>
      </c>
      <c r="F79" s="46">
        <v>2070000</v>
      </c>
      <c r="G79" s="46">
        <v>1650000</v>
      </c>
    </row>
    <row r="80" spans="1:7" ht="12.75">
      <c r="A80" s="43" t="s">
        <v>1376</v>
      </c>
      <c r="B80" s="38">
        <v>580</v>
      </c>
      <c r="C80" s="46"/>
      <c r="D80" s="46"/>
      <c r="E80" s="46"/>
      <c r="F80" s="46"/>
      <c r="G80" s="46"/>
    </row>
    <row r="81" spans="1:7" ht="25.5">
      <c r="A81" s="43" t="s">
        <v>1377</v>
      </c>
      <c r="B81" s="38">
        <v>590</v>
      </c>
      <c r="C81" s="46"/>
      <c r="D81" s="46"/>
      <c r="E81" s="46"/>
      <c r="F81" s="46"/>
      <c r="G81" s="46"/>
    </row>
    <row r="82" spans="1:7" ht="38.25">
      <c r="A82" s="44" t="s">
        <v>1378</v>
      </c>
      <c r="B82" s="49">
        <v>600</v>
      </c>
      <c r="C82" s="871">
        <f>C83</f>
        <v>1207010</v>
      </c>
      <c r="D82" s="871">
        <f>D83</f>
        <v>833493</v>
      </c>
      <c r="E82" s="871">
        <f>E83</f>
        <v>868019</v>
      </c>
      <c r="F82" s="871">
        <f>F83</f>
        <v>1241079</v>
      </c>
      <c r="G82" s="871">
        <f>G83</f>
        <v>1304502</v>
      </c>
    </row>
    <row r="83" spans="1:7" ht="25.5">
      <c r="A83" s="877" t="s">
        <v>1379</v>
      </c>
      <c r="B83" s="38">
        <v>601</v>
      </c>
      <c r="C83" s="46">
        <f>C85+C87+C89+C91+C92+C93+C94+C95+C96+C100</f>
        <v>1207010</v>
      </c>
      <c r="D83" s="46">
        <f>D85+D87+D89+D91+D92+D93+D94+D95+D96+D100</f>
        <v>833493</v>
      </c>
      <c r="E83" s="46">
        <f>E85+E87+E89+E91+E92+E93+E94+E95+E96+E100</f>
        <v>868019</v>
      </c>
      <c r="F83" s="46">
        <f>F85+F87+F89+F91+F92+F93+F94+F95+F96+F100</f>
        <v>1241079</v>
      </c>
      <c r="G83" s="46">
        <f>G85+G87+G89+G91+G92+G93+G94+G95+G96+G100</f>
        <v>1304502</v>
      </c>
    </row>
    <row r="84" spans="1:7" ht="25.5">
      <c r="A84" s="43" t="s">
        <v>1380</v>
      </c>
      <c r="B84" s="38">
        <v>602</v>
      </c>
      <c r="C84" s="46"/>
      <c r="D84" s="46"/>
      <c r="E84" s="46"/>
      <c r="F84" s="46"/>
      <c r="G84" s="46"/>
    </row>
    <row r="85" spans="1:7" ht="12.75">
      <c r="A85" s="43" t="s">
        <v>1381</v>
      </c>
      <c r="B85" s="878">
        <v>610</v>
      </c>
      <c r="C85" s="46">
        <v>0</v>
      </c>
      <c r="D85" s="46">
        <v>0</v>
      </c>
      <c r="E85" s="46">
        <v>0</v>
      </c>
      <c r="F85" s="46">
        <v>0</v>
      </c>
      <c r="G85" s="46"/>
    </row>
    <row r="86" spans="1:7" ht="12.75">
      <c r="A86" s="43" t="s">
        <v>1382</v>
      </c>
      <c r="B86" s="878">
        <v>620</v>
      </c>
      <c r="C86" s="46"/>
      <c r="D86" s="46"/>
      <c r="E86" s="46"/>
      <c r="F86" s="46"/>
      <c r="G86" s="46"/>
    </row>
    <row r="87" spans="1:7" ht="25.5">
      <c r="A87" s="43" t="s">
        <v>1383</v>
      </c>
      <c r="B87" s="878">
        <v>630</v>
      </c>
      <c r="C87" s="46">
        <v>1000</v>
      </c>
      <c r="D87" s="46">
        <v>0</v>
      </c>
      <c r="E87" s="46">
        <v>0</v>
      </c>
      <c r="F87" s="46">
        <v>0</v>
      </c>
      <c r="G87" s="46">
        <v>1000</v>
      </c>
    </row>
    <row r="88" spans="1:7" ht="12.75">
      <c r="A88" s="43" t="s">
        <v>1384</v>
      </c>
      <c r="B88" s="878">
        <v>640</v>
      </c>
      <c r="C88" s="46"/>
      <c r="D88" s="46"/>
      <c r="E88" s="46"/>
      <c r="F88" s="46"/>
      <c r="G88" s="46"/>
    </row>
    <row r="89" spans="1:7" ht="25.5">
      <c r="A89" s="43" t="s">
        <v>1385</v>
      </c>
      <c r="B89" s="878">
        <v>650</v>
      </c>
      <c r="C89" s="46"/>
      <c r="D89" s="46"/>
      <c r="E89" s="46"/>
      <c r="F89" s="46"/>
      <c r="G89" s="46"/>
    </row>
    <row r="90" spans="1:7" ht="25.5">
      <c r="A90" s="43" t="s">
        <v>1385</v>
      </c>
      <c r="B90" s="878">
        <v>660</v>
      </c>
      <c r="C90" s="46"/>
      <c r="D90" s="46"/>
      <c r="E90" s="46"/>
      <c r="F90" s="46"/>
      <c r="G90" s="46"/>
    </row>
    <row r="91" spans="1:7" ht="12.75">
      <c r="A91" s="43" t="s">
        <v>1386</v>
      </c>
      <c r="B91" s="878">
        <v>670</v>
      </c>
      <c r="C91" s="46">
        <v>1002549</v>
      </c>
      <c r="D91" s="46">
        <v>700000</v>
      </c>
      <c r="E91" s="46">
        <v>750000</v>
      </c>
      <c r="F91" s="46">
        <v>945000</v>
      </c>
      <c r="G91" s="46">
        <v>970000</v>
      </c>
    </row>
    <row r="92" spans="1:7" ht="12.75">
      <c r="A92" s="43" t="s">
        <v>1387</v>
      </c>
      <c r="B92" s="878">
        <v>680</v>
      </c>
      <c r="C92" s="46">
        <v>110000</v>
      </c>
      <c r="D92" s="46">
        <v>75000</v>
      </c>
      <c r="E92" s="46">
        <v>60000</v>
      </c>
      <c r="F92" s="46">
        <v>224231</v>
      </c>
      <c r="G92" s="46">
        <v>190136</v>
      </c>
    </row>
    <row r="93" spans="1:7" ht="12.75">
      <c r="A93" s="43" t="s">
        <v>1388</v>
      </c>
      <c r="B93" s="878">
        <v>690</v>
      </c>
      <c r="C93" s="46"/>
      <c r="D93" s="46"/>
      <c r="E93" s="46"/>
      <c r="F93" s="46"/>
      <c r="G93" s="46"/>
    </row>
    <row r="94" spans="1:7" ht="25.5">
      <c r="A94" s="43" t="s">
        <v>1389</v>
      </c>
      <c r="B94" s="878">
        <v>700</v>
      </c>
      <c r="C94" s="46">
        <v>47171</v>
      </c>
      <c r="D94" s="46">
        <v>3293</v>
      </c>
      <c r="E94" s="46">
        <v>6019</v>
      </c>
      <c r="F94" s="46">
        <v>5348</v>
      </c>
      <c r="G94" s="46">
        <v>46366</v>
      </c>
    </row>
    <row r="95" spans="1:7" ht="12.75">
      <c r="A95" s="43" t="s">
        <v>1390</v>
      </c>
      <c r="B95" s="878">
        <v>710</v>
      </c>
      <c r="C95" s="46"/>
      <c r="D95" s="46"/>
      <c r="E95" s="46"/>
      <c r="F95" s="46"/>
      <c r="G95" s="46"/>
    </row>
    <row r="96" spans="1:7" ht="12.75">
      <c r="A96" s="43" t="s">
        <v>1391</v>
      </c>
      <c r="B96" s="878">
        <v>720</v>
      </c>
      <c r="C96" s="46">
        <v>35290</v>
      </c>
      <c r="D96" s="46">
        <v>45700</v>
      </c>
      <c r="E96" s="46">
        <v>42000</v>
      </c>
      <c r="F96" s="46">
        <v>55000</v>
      </c>
      <c r="G96" s="46">
        <v>45000</v>
      </c>
    </row>
    <row r="97" spans="1:7" ht="12.75">
      <c r="A97" s="43" t="s">
        <v>1392</v>
      </c>
      <c r="B97" s="878">
        <v>730</v>
      </c>
      <c r="C97" s="46"/>
      <c r="D97" s="46"/>
      <c r="E97" s="46"/>
      <c r="F97" s="46"/>
      <c r="G97" s="46"/>
    </row>
    <row r="98" spans="1:7" ht="12.75">
      <c r="A98" s="43" t="s">
        <v>1393</v>
      </c>
      <c r="B98" s="878">
        <v>740</v>
      </c>
      <c r="C98" s="46"/>
      <c r="D98" s="46"/>
      <c r="E98" s="46"/>
      <c r="F98" s="46"/>
      <c r="G98" s="46"/>
    </row>
    <row r="99" spans="1:7" ht="12.75">
      <c r="A99" s="43" t="s">
        <v>1394</v>
      </c>
      <c r="B99" s="878">
        <v>750</v>
      </c>
      <c r="C99" s="46"/>
      <c r="D99" s="46"/>
      <c r="E99" s="46"/>
      <c r="F99" s="46"/>
      <c r="G99" s="46"/>
    </row>
    <row r="100" spans="1:7" ht="25.5">
      <c r="A100" s="43" t="s">
        <v>1395</v>
      </c>
      <c r="B100" s="878">
        <v>760</v>
      </c>
      <c r="C100" s="46">
        <v>11000</v>
      </c>
      <c r="D100" s="46">
        <v>9500</v>
      </c>
      <c r="E100" s="46">
        <v>10000</v>
      </c>
      <c r="F100" s="46">
        <v>11500</v>
      </c>
      <c r="G100" s="46">
        <v>52000</v>
      </c>
    </row>
    <row r="101" spans="1:7" ht="12.75">
      <c r="A101" s="44" t="s">
        <v>1396</v>
      </c>
      <c r="B101" s="49">
        <v>770</v>
      </c>
      <c r="C101" s="871">
        <f>C69+C82</f>
        <v>4537010</v>
      </c>
      <c r="D101" s="871">
        <f>D69+D82</f>
        <v>3743493</v>
      </c>
      <c r="E101" s="871">
        <f>E69+E82</f>
        <v>3358019</v>
      </c>
      <c r="F101" s="871">
        <f>F69+F82</f>
        <v>3311079</v>
      </c>
      <c r="G101" s="871">
        <f>G69+G82</f>
        <v>2954502</v>
      </c>
    </row>
    <row r="102" spans="1:7" ht="12.75">
      <c r="A102" s="44" t="s">
        <v>1397</v>
      </c>
      <c r="B102" s="49">
        <v>780</v>
      </c>
      <c r="C102" s="871">
        <f>C67+C101</f>
        <v>19021116</v>
      </c>
      <c r="D102" s="871">
        <f>D67+D101</f>
        <v>19581123</v>
      </c>
      <c r="E102" s="871">
        <f>E67+E101</f>
        <v>20447576</v>
      </c>
      <c r="F102" s="871">
        <f>F67+F101</f>
        <v>19565631</v>
      </c>
      <c r="G102" s="871">
        <f>G67+G101</f>
        <v>19775932</v>
      </c>
    </row>
    <row r="103" spans="1:7" ht="15.75">
      <c r="A103" s="879"/>
      <c r="B103" s="880"/>
      <c r="C103" s="881">
        <f>C102-C56</f>
        <v>0</v>
      </c>
      <c r="D103" s="881">
        <f>D102-D56</f>
        <v>0</v>
      </c>
      <c r="E103" s="881">
        <f>E102-E56</f>
        <v>0</v>
      </c>
      <c r="F103" s="881">
        <f>F102-F56</f>
        <v>0</v>
      </c>
      <c r="G103" s="881">
        <f>G102-G56</f>
        <v>0</v>
      </c>
    </row>
  </sheetData>
  <sheetProtection/>
  <mergeCells count="4">
    <mergeCell ref="A7:G7"/>
    <mergeCell ref="A28:G28"/>
    <mergeCell ref="A59:G59"/>
    <mergeCell ref="A68:G68"/>
  </mergeCells>
  <printOptions/>
  <pageMargins left="0.27" right="0.2" top="0.28" bottom="0.41" header="0.18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H115"/>
  <sheetViews>
    <sheetView showZeros="0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54.25390625" style="29" customWidth="1"/>
    <col min="2" max="2" width="5.75390625" style="29" customWidth="1"/>
    <col min="3" max="4" width="18.125" style="32" customWidth="1"/>
    <col min="5" max="5" width="12.125" style="29" customWidth="1"/>
    <col min="6" max="6" width="9.125" style="29" customWidth="1"/>
    <col min="7" max="7" width="11.00390625" style="29" customWidth="1"/>
    <col min="8" max="16384" width="9.125" style="29" customWidth="1"/>
  </cols>
  <sheetData>
    <row r="1" spans="2:4" ht="10.5" customHeight="1">
      <c r="B1" s="30"/>
      <c r="C1" s="30"/>
      <c r="D1" s="30"/>
    </row>
    <row r="2" ht="6.75" customHeight="1"/>
    <row r="8" ht="15.75">
      <c r="A8" s="33" t="s">
        <v>1276</v>
      </c>
    </row>
    <row r="9" ht="18" customHeight="1"/>
    <row r="10" spans="1:5" ht="59.25" customHeight="1">
      <c r="A10" s="35" t="s">
        <v>287</v>
      </c>
      <c r="B10" s="35" t="s">
        <v>288</v>
      </c>
      <c r="C10" s="36" t="s">
        <v>289</v>
      </c>
      <c r="D10" s="36" t="s">
        <v>290</v>
      </c>
      <c r="E10" s="36" t="s">
        <v>291</v>
      </c>
    </row>
    <row r="11" spans="1:5" ht="15">
      <c r="A11" s="37"/>
      <c r="B11" s="38">
        <v>2</v>
      </c>
      <c r="C11" s="34">
        <v>3</v>
      </c>
      <c r="D11" s="34">
        <v>4</v>
      </c>
      <c r="E11" s="39">
        <v>5</v>
      </c>
    </row>
    <row r="12" spans="1:5" ht="12.75" customHeight="1">
      <c r="A12" s="1409" t="s">
        <v>292</v>
      </c>
      <c r="B12" s="1410"/>
      <c r="C12" s="1410"/>
      <c r="D12" s="1410"/>
      <c r="E12" s="1413"/>
    </row>
    <row r="13" spans="1:5" ht="27.75" customHeight="1">
      <c r="A13" s="113" t="s">
        <v>293</v>
      </c>
      <c r="B13" s="40"/>
      <c r="C13" s="41"/>
      <c r="D13" s="41"/>
      <c r="E13" s="39"/>
    </row>
    <row r="14" spans="1:5" ht="27.75" customHeight="1">
      <c r="A14" s="114" t="s">
        <v>294</v>
      </c>
      <c r="B14" s="42">
        <v>10</v>
      </c>
      <c r="C14" s="46">
        <v>17297024</v>
      </c>
      <c r="D14" s="46">
        <f>'Баланс по кв'!G9</f>
        <v>22865813</v>
      </c>
      <c r="E14" s="34">
        <f>D14-C14</f>
        <v>5568789</v>
      </c>
    </row>
    <row r="15" spans="1:7" ht="27.75" customHeight="1">
      <c r="A15" s="114" t="s">
        <v>295</v>
      </c>
      <c r="B15" s="42">
        <v>11</v>
      </c>
      <c r="C15" s="46">
        <v>8410396</v>
      </c>
      <c r="D15" s="46">
        <f>'Баланс по кв'!G10</f>
        <v>10174336</v>
      </c>
      <c r="E15" s="34">
        <f aca="true" t="shared" si="0" ref="E15:E61">D15-C15</f>
        <v>1763940</v>
      </c>
      <c r="F15" s="119"/>
      <c r="G15" s="119"/>
    </row>
    <row r="16" spans="1:5" ht="27.75" customHeight="1">
      <c r="A16" s="114" t="s">
        <v>296</v>
      </c>
      <c r="B16" s="42">
        <v>12</v>
      </c>
      <c r="C16" s="46">
        <f>C14-C15</f>
        <v>8886628</v>
      </c>
      <c r="D16" s="46">
        <f>'Баланс по кв'!G11</f>
        <v>12691478</v>
      </c>
      <c r="E16" s="34">
        <f t="shared" si="0"/>
        <v>3804850</v>
      </c>
    </row>
    <row r="17" spans="1:5" ht="27.75" customHeight="1">
      <c r="A17" s="115" t="s">
        <v>297</v>
      </c>
      <c r="B17" s="45"/>
      <c r="C17" s="46"/>
      <c r="D17" s="46">
        <f>'Баланс по кв'!G12</f>
        <v>0</v>
      </c>
      <c r="E17" s="34">
        <f t="shared" si="0"/>
        <v>0</v>
      </c>
    </row>
    <row r="18" spans="1:5" ht="27.75" customHeight="1">
      <c r="A18" s="114" t="s">
        <v>298</v>
      </c>
      <c r="B18" s="42">
        <v>20</v>
      </c>
      <c r="C18" s="46">
        <v>22367</v>
      </c>
      <c r="D18" s="46">
        <f>'Баланс по кв'!G13</f>
        <v>22367</v>
      </c>
      <c r="E18" s="34">
        <f t="shared" si="0"/>
        <v>0</v>
      </c>
    </row>
    <row r="19" spans="1:5" ht="27.75" customHeight="1">
      <c r="A19" s="114" t="s">
        <v>299</v>
      </c>
      <c r="B19" s="42">
        <v>21</v>
      </c>
      <c r="C19" s="46">
        <v>13828</v>
      </c>
      <c r="D19" s="46">
        <f>'Баланс по кв'!G14</f>
        <v>15320</v>
      </c>
      <c r="E19" s="34">
        <f t="shared" si="0"/>
        <v>1492</v>
      </c>
    </row>
    <row r="20" spans="1:5" ht="27.75" customHeight="1">
      <c r="A20" s="114" t="s">
        <v>300</v>
      </c>
      <c r="B20" s="42">
        <v>22</v>
      </c>
      <c r="C20" s="46">
        <f>C18-C19</f>
        <v>8539</v>
      </c>
      <c r="D20" s="46">
        <f>'Баланс по кв'!G15</f>
        <v>7047</v>
      </c>
      <c r="E20" s="34">
        <f t="shared" si="0"/>
        <v>-1492</v>
      </c>
    </row>
    <row r="21" spans="1:5" ht="54.75" customHeight="1">
      <c r="A21" s="115" t="s">
        <v>301</v>
      </c>
      <c r="B21" s="112">
        <v>30</v>
      </c>
      <c r="C21" s="871">
        <f>C22+C23+C24+C25+C26</f>
        <v>384898</v>
      </c>
      <c r="D21" s="871">
        <f>'Баланс по кв'!G16</f>
        <v>384898</v>
      </c>
      <c r="E21" s="34">
        <f t="shared" si="0"/>
        <v>0</v>
      </c>
    </row>
    <row r="22" spans="1:5" ht="27.75" customHeight="1">
      <c r="A22" s="114" t="s">
        <v>302</v>
      </c>
      <c r="B22" s="42">
        <v>40</v>
      </c>
      <c r="C22" s="46"/>
      <c r="D22" s="46">
        <f>'Баланс по кв'!G17</f>
        <v>0</v>
      </c>
      <c r="E22" s="34">
        <f t="shared" si="0"/>
        <v>0</v>
      </c>
    </row>
    <row r="23" spans="1:5" ht="27.75" customHeight="1">
      <c r="A23" s="114" t="s">
        <v>303</v>
      </c>
      <c r="B23" s="42">
        <v>50</v>
      </c>
      <c r="C23" s="46"/>
      <c r="D23" s="46">
        <f>'Баланс по кв'!G18</f>
        <v>0</v>
      </c>
      <c r="E23" s="34">
        <f t="shared" si="0"/>
        <v>0</v>
      </c>
    </row>
    <row r="24" spans="1:5" ht="27.75" customHeight="1">
      <c r="A24" s="114" t="s">
        <v>0</v>
      </c>
      <c r="B24" s="42">
        <v>60</v>
      </c>
      <c r="C24" s="46"/>
      <c r="D24" s="46">
        <f>'Баланс по кв'!G19</f>
        <v>0</v>
      </c>
      <c r="E24" s="34">
        <f t="shared" si="0"/>
        <v>0</v>
      </c>
    </row>
    <row r="25" spans="1:5" ht="27.75" customHeight="1">
      <c r="A25" s="114" t="s">
        <v>1</v>
      </c>
      <c r="B25" s="42">
        <v>70</v>
      </c>
      <c r="C25" s="46"/>
      <c r="D25" s="46">
        <f>'Баланс по кв'!G20</f>
        <v>0</v>
      </c>
      <c r="E25" s="34">
        <f t="shared" si="0"/>
        <v>0</v>
      </c>
    </row>
    <row r="26" spans="1:5" ht="27.75" customHeight="1">
      <c r="A26" s="114" t="s">
        <v>2</v>
      </c>
      <c r="B26" s="42">
        <v>80</v>
      </c>
      <c r="C26" s="46">
        <v>384898</v>
      </c>
      <c r="D26" s="46">
        <f>'Баланс по кв'!G21</f>
        <v>384898</v>
      </c>
      <c r="E26" s="34">
        <f t="shared" si="0"/>
        <v>0</v>
      </c>
    </row>
    <row r="27" spans="1:5" ht="27.75" customHeight="1">
      <c r="A27" s="114" t="s">
        <v>3</v>
      </c>
      <c r="B27" s="42">
        <v>90</v>
      </c>
      <c r="C27" s="46"/>
      <c r="D27" s="46">
        <f>'Баланс по кв'!G22</f>
        <v>0</v>
      </c>
      <c r="E27" s="34">
        <f t="shared" si="0"/>
        <v>0</v>
      </c>
    </row>
    <row r="28" spans="1:7" ht="27.75" customHeight="1">
      <c r="A28" s="114" t="s">
        <v>4</v>
      </c>
      <c r="B28" s="38">
        <v>100</v>
      </c>
      <c r="C28" s="46">
        <v>6649</v>
      </c>
      <c r="D28" s="46">
        <f>'Баланс по кв'!G23</f>
        <v>0</v>
      </c>
      <c r="E28" s="34">
        <f t="shared" si="0"/>
        <v>-6649</v>
      </c>
      <c r="G28" s="119"/>
    </row>
    <row r="29" spans="1:5" ht="27.75" customHeight="1">
      <c r="A29" s="114" t="s">
        <v>5</v>
      </c>
      <c r="B29" s="38">
        <v>110</v>
      </c>
      <c r="C29" s="46"/>
      <c r="D29" s="46">
        <f>'Баланс по кв'!G24</f>
        <v>0</v>
      </c>
      <c r="E29" s="34">
        <f t="shared" si="0"/>
        <v>0</v>
      </c>
    </row>
    <row r="30" spans="1:7" ht="25.5" customHeight="1">
      <c r="A30" s="114" t="s">
        <v>6</v>
      </c>
      <c r="B30" s="110">
        <v>111</v>
      </c>
      <c r="C30" s="872"/>
      <c r="D30" s="46">
        <f>'Баланс по кв'!G25</f>
        <v>0</v>
      </c>
      <c r="E30" s="34">
        <f t="shared" si="0"/>
        <v>0</v>
      </c>
      <c r="G30" s="119"/>
    </row>
    <row r="31" spans="1:5" ht="27.75" customHeight="1">
      <c r="A31" s="114" t="s">
        <v>7</v>
      </c>
      <c r="B31" s="38">
        <v>120</v>
      </c>
      <c r="C31" s="46"/>
      <c r="D31" s="46">
        <f>'Баланс по кв'!G26</f>
        <v>0</v>
      </c>
      <c r="E31" s="34">
        <f t="shared" si="0"/>
        <v>0</v>
      </c>
    </row>
    <row r="32" spans="1:5" ht="27.75" customHeight="1">
      <c r="A32" s="115" t="s">
        <v>8</v>
      </c>
      <c r="B32" s="49" t="s">
        <v>9</v>
      </c>
      <c r="C32" s="875">
        <f>C16+C20+C21+C27+C28+C29+C31</f>
        <v>9286714</v>
      </c>
      <c r="D32" s="871">
        <f>'Баланс по кв'!G27</f>
        <v>13083423</v>
      </c>
      <c r="E32" s="47">
        <f t="shared" si="0"/>
        <v>3796709</v>
      </c>
    </row>
    <row r="33" spans="1:5" ht="27.75" customHeight="1">
      <c r="A33" s="1411" t="s">
        <v>10</v>
      </c>
      <c r="B33" s="1412"/>
      <c r="C33" s="1412"/>
      <c r="D33" s="1412"/>
      <c r="E33" s="1414"/>
    </row>
    <row r="34" spans="1:5" ht="54" customHeight="1">
      <c r="A34" s="48" t="s">
        <v>11</v>
      </c>
      <c r="B34" s="111">
        <v>140</v>
      </c>
      <c r="C34" s="876">
        <f>C35+C36+C37+C38</f>
        <v>1794476</v>
      </c>
      <c r="D34" s="871">
        <f>'Баланс по кв'!G29</f>
        <v>1506529</v>
      </c>
      <c r="E34" s="47">
        <f t="shared" si="0"/>
        <v>-287947</v>
      </c>
    </row>
    <row r="35" spans="1:5" ht="29.25" customHeight="1">
      <c r="A35" s="43" t="s">
        <v>12</v>
      </c>
      <c r="B35" s="38">
        <v>150</v>
      </c>
      <c r="C35" s="46">
        <v>1472752</v>
      </c>
      <c r="D35" s="46">
        <f>'Баланс по кв'!G30</f>
        <v>1121529</v>
      </c>
      <c r="E35" s="34">
        <f t="shared" si="0"/>
        <v>-351223</v>
      </c>
    </row>
    <row r="36" spans="1:5" ht="29.25" customHeight="1">
      <c r="A36" s="43" t="s">
        <v>13</v>
      </c>
      <c r="B36" s="38">
        <v>160</v>
      </c>
      <c r="C36" s="46">
        <v>221944</v>
      </c>
      <c r="D36" s="46">
        <f>'Баланс по кв'!G31</f>
        <v>210000</v>
      </c>
      <c r="E36" s="34">
        <f t="shared" si="0"/>
        <v>-11944</v>
      </c>
    </row>
    <row r="37" spans="1:5" ht="29.25" customHeight="1">
      <c r="A37" s="43" t="s">
        <v>14</v>
      </c>
      <c r="B37" s="38">
        <v>170</v>
      </c>
      <c r="C37" s="46">
        <v>99780</v>
      </c>
      <c r="D37" s="46">
        <f>'Баланс по кв'!G32</f>
        <v>175000</v>
      </c>
      <c r="E37" s="34">
        <f t="shared" si="0"/>
        <v>75220</v>
      </c>
    </row>
    <row r="38" spans="1:5" ht="29.25" customHeight="1">
      <c r="A38" s="43" t="s">
        <v>15</v>
      </c>
      <c r="B38" s="38">
        <v>180</v>
      </c>
      <c r="C38" s="46"/>
      <c r="D38" s="46">
        <f>'Баланс по кв'!G33</f>
        <v>0</v>
      </c>
      <c r="E38" s="34">
        <f t="shared" si="0"/>
        <v>0</v>
      </c>
    </row>
    <row r="39" spans="1:5" ht="29.25" customHeight="1">
      <c r="A39" s="43" t="s">
        <v>16</v>
      </c>
      <c r="B39" s="38">
        <v>190</v>
      </c>
      <c r="C39" s="46">
        <v>0</v>
      </c>
      <c r="D39" s="46">
        <f>'Баланс по кв'!G34</f>
        <v>0</v>
      </c>
      <c r="E39" s="34">
        <f t="shared" si="0"/>
        <v>0</v>
      </c>
    </row>
    <row r="40" spans="1:5" ht="29.25" customHeight="1">
      <c r="A40" s="43" t="s">
        <v>17</v>
      </c>
      <c r="B40" s="38">
        <v>200</v>
      </c>
      <c r="C40" s="46"/>
      <c r="D40" s="46">
        <f>'Баланс по кв'!G35</f>
        <v>0</v>
      </c>
      <c r="E40" s="34">
        <f t="shared" si="0"/>
        <v>0</v>
      </c>
    </row>
    <row r="41" spans="1:5" ht="54.75" customHeight="1">
      <c r="A41" s="44" t="s">
        <v>18</v>
      </c>
      <c r="B41" s="49">
        <v>210</v>
      </c>
      <c r="C41" s="871">
        <f>C43+C44+C45+C46+C47+C48+C49+C50+C51+C52</f>
        <v>2088326</v>
      </c>
      <c r="D41" s="871">
        <f>'Баланс по кв'!G36</f>
        <v>1660472</v>
      </c>
      <c r="E41" s="47">
        <f t="shared" si="0"/>
        <v>-427854</v>
      </c>
    </row>
    <row r="42" spans="1:5" ht="29.25" customHeight="1">
      <c r="A42" s="43" t="s">
        <v>6</v>
      </c>
      <c r="B42" s="49"/>
      <c r="C42" s="871"/>
      <c r="D42" s="46">
        <f>'Баланс по кв'!G37</f>
        <v>0</v>
      </c>
      <c r="E42" s="34">
        <f t="shared" si="0"/>
        <v>0</v>
      </c>
    </row>
    <row r="43" spans="1:5" ht="38.25">
      <c r="A43" s="43" t="s">
        <v>19</v>
      </c>
      <c r="B43" s="38">
        <v>220</v>
      </c>
      <c r="C43" s="46">
        <v>13857</v>
      </c>
      <c r="D43" s="46">
        <f>'Баланс по кв'!G38</f>
        <v>207416</v>
      </c>
      <c r="E43" s="34">
        <f t="shared" si="0"/>
        <v>193559</v>
      </c>
    </row>
    <row r="44" spans="1:5" ht="27.75" customHeight="1">
      <c r="A44" s="43" t="s">
        <v>20</v>
      </c>
      <c r="B44" s="38">
        <v>230</v>
      </c>
      <c r="C44" s="46"/>
      <c r="D44" s="46">
        <f>'Баланс по кв'!G39</f>
        <v>0</v>
      </c>
      <c r="E44" s="34">
        <f t="shared" si="0"/>
        <v>0</v>
      </c>
    </row>
    <row r="45" spans="1:5" ht="39.75" customHeight="1">
      <c r="A45" s="43" t="s">
        <v>21</v>
      </c>
      <c r="B45" s="38">
        <v>240</v>
      </c>
      <c r="C45" s="46"/>
      <c r="D45" s="46">
        <f>'Баланс по кв'!G40</f>
        <v>0</v>
      </c>
      <c r="E45" s="34">
        <f t="shared" si="0"/>
        <v>0</v>
      </c>
    </row>
    <row r="46" spans="1:5" ht="30" customHeight="1">
      <c r="A46" s="43" t="s">
        <v>22</v>
      </c>
      <c r="B46" s="38">
        <v>250</v>
      </c>
      <c r="C46" s="46">
        <v>2323</v>
      </c>
      <c r="D46" s="46">
        <f>'Баланс по кв'!G41</f>
        <v>1000</v>
      </c>
      <c r="E46" s="34">
        <f t="shared" si="0"/>
        <v>-1323</v>
      </c>
    </row>
    <row r="47" spans="1:5" ht="41.25" customHeight="1">
      <c r="A47" s="43" t="s">
        <v>23</v>
      </c>
      <c r="B47" s="38">
        <v>260</v>
      </c>
      <c r="C47" s="46">
        <v>1640000</v>
      </c>
      <c r="D47" s="46">
        <f>'Баланс по кв'!G42</f>
        <v>1051703</v>
      </c>
      <c r="E47" s="34">
        <f t="shared" si="0"/>
        <v>-588297</v>
      </c>
    </row>
    <row r="48" spans="1:5" ht="29.25" customHeight="1">
      <c r="A48" s="43" t="s">
        <v>24</v>
      </c>
      <c r="B48" s="38">
        <v>270</v>
      </c>
      <c r="C48" s="46">
        <v>55000</v>
      </c>
      <c r="D48" s="46">
        <f>'Баланс по кв'!G43</f>
        <v>56000</v>
      </c>
      <c r="E48" s="34">
        <f t="shared" si="0"/>
        <v>1000</v>
      </c>
    </row>
    <row r="49" spans="1:5" ht="54" customHeight="1">
      <c r="A49" s="43" t="s">
        <v>25</v>
      </c>
      <c r="B49" s="38">
        <v>280</v>
      </c>
      <c r="C49" s="46">
        <v>0</v>
      </c>
      <c r="D49" s="46">
        <f>'Баланс по кв'!G44</f>
        <v>0</v>
      </c>
      <c r="E49" s="34">
        <f t="shared" si="0"/>
        <v>0</v>
      </c>
    </row>
    <row r="50" spans="1:5" ht="39" customHeight="1">
      <c r="A50" s="43" t="s">
        <v>26</v>
      </c>
      <c r="B50" s="38">
        <v>290</v>
      </c>
      <c r="C50" s="46"/>
      <c r="D50" s="46">
        <f>'Баланс по кв'!G45</f>
        <v>0</v>
      </c>
      <c r="E50" s="34">
        <f t="shared" si="0"/>
        <v>0</v>
      </c>
    </row>
    <row r="51" spans="1:5" ht="28.5" customHeight="1">
      <c r="A51" s="43" t="s">
        <v>27</v>
      </c>
      <c r="B51" s="38">
        <v>300</v>
      </c>
      <c r="C51" s="46">
        <v>267800</v>
      </c>
      <c r="D51" s="46">
        <f>'Баланс по кв'!G46</f>
        <v>247800</v>
      </c>
      <c r="E51" s="34">
        <f t="shared" si="0"/>
        <v>-20000</v>
      </c>
    </row>
    <row r="52" spans="1:5" ht="28.5" customHeight="1">
      <c r="A52" s="43" t="s">
        <v>28</v>
      </c>
      <c r="B52" s="38">
        <v>310</v>
      </c>
      <c r="C52" s="46">
        <v>109346</v>
      </c>
      <c r="D52" s="46">
        <f>'Баланс по кв'!G47</f>
        <v>96553</v>
      </c>
      <c r="E52" s="34">
        <f t="shared" si="0"/>
        <v>-12793</v>
      </c>
    </row>
    <row r="53" spans="1:5" ht="41.25" customHeight="1">
      <c r="A53" s="44" t="s">
        <v>29</v>
      </c>
      <c r="B53" s="49">
        <v>320</v>
      </c>
      <c r="C53" s="871">
        <f>C54+C55+C56+C57</f>
        <v>5851600</v>
      </c>
      <c r="D53" s="871">
        <f>'Баланс по кв'!G48</f>
        <v>3525508</v>
      </c>
      <c r="E53" s="47">
        <f t="shared" si="0"/>
        <v>-2326092</v>
      </c>
    </row>
    <row r="54" spans="1:5" ht="30.75" customHeight="1">
      <c r="A54" s="43" t="s">
        <v>30</v>
      </c>
      <c r="B54" s="38">
        <v>330</v>
      </c>
      <c r="C54" s="46"/>
      <c r="D54" s="46">
        <f>'Баланс по кв'!G49</f>
        <v>0</v>
      </c>
      <c r="E54" s="34">
        <f t="shared" si="0"/>
        <v>0</v>
      </c>
    </row>
    <row r="55" spans="1:5" ht="30.75" customHeight="1">
      <c r="A55" s="43" t="s">
        <v>31</v>
      </c>
      <c r="B55" s="38">
        <v>340</v>
      </c>
      <c r="C55" s="46">
        <v>5850000</v>
      </c>
      <c r="D55" s="46">
        <f>'Баланс по кв'!G50</f>
        <v>3523708</v>
      </c>
      <c r="E55" s="34">
        <f t="shared" si="0"/>
        <v>-2326292</v>
      </c>
    </row>
    <row r="56" spans="1:5" ht="30.75" customHeight="1">
      <c r="A56" s="43" t="s">
        <v>32</v>
      </c>
      <c r="B56" s="38">
        <v>350</v>
      </c>
      <c r="C56" s="46"/>
      <c r="D56" s="46">
        <f>'Баланс по кв'!G51</f>
        <v>0</v>
      </c>
      <c r="E56" s="34">
        <f t="shared" si="0"/>
        <v>0</v>
      </c>
    </row>
    <row r="57" spans="1:5" ht="30.75" customHeight="1">
      <c r="A57" s="43" t="s">
        <v>33</v>
      </c>
      <c r="B57" s="38">
        <v>360</v>
      </c>
      <c r="C57" s="46">
        <v>1600</v>
      </c>
      <c r="D57" s="46">
        <f>'Баланс по кв'!G52</f>
        <v>1800</v>
      </c>
      <c r="E57" s="34">
        <f t="shared" si="0"/>
        <v>200</v>
      </c>
    </row>
    <row r="58" spans="1:5" ht="30.75" customHeight="1">
      <c r="A58" s="43" t="s">
        <v>34</v>
      </c>
      <c r="B58" s="38">
        <v>370</v>
      </c>
      <c r="C58" s="46"/>
      <c r="D58" s="46">
        <f>'Баланс по кв'!G53</f>
        <v>0</v>
      </c>
      <c r="E58" s="34">
        <f t="shared" si="0"/>
        <v>0</v>
      </c>
    </row>
    <row r="59" spans="1:5" ht="30.75" customHeight="1">
      <c r="A59" s="43" t="s">
        <v>35</v>
      </c>
      <c r="B59" s="38">
        <v>380</v>
      </c>
      <c r="C59" s="46"/>
      <c r="D59" s="46">
        <f>'Баланс по кв'!G54</f>
        <v>0</v>
      </c>
      <c r="E59" s="34">
        <f t="shared" si="0"/>
        <v>0</v>
      </c>
    </row>
    <row r="60" spans="1:5" ht="30.75" customHeight="1">
      <c r="A60" s="44" t="s">
        <v>36</v>
      </c>
      <c r="B60" s="49">
        <v>390</v>
      </c>
      <c r="C60" s="871">
        <f>C34+C39+C40+C41+C44+C53+C58+C59</f>
        <v>9734402</v>
      </c>
      <c r="D60" s="46">
        <f>'Баланс по кв'!G55</f>
        <v>6692509</v>
      </c>
      <c r="E60" s="34">
        <f t="shared" si="0"/>
        <v>-3041893</v>
      </c>
    </row>
    <row r="61" spans="1:7" ht="30.75" customHeight="1">
      <c r="A61" s="44" t="s">
        <v>37</v>
      </c>
      <c r="B61" s="49">
        <v>400</v>
      </c>
      <c r="C61" s="871">
        <f>C32+C60</f>
        <v>19021116</v>
      </c>
      <c r="D61" s="871">
        <f>'Баланс по кв'!G56</f>
        <v>19775932</v>
      </c>
      <c r="E61" s="47">
        <f t="shared" si="0"/>
        <v>754816</v>
      </c>
      <c r="G61" s="119"/>
    </row>
    <row r="62" spans="1:5" ht="25.5">
      <c r="A62" s="35" t="s">
        <v>287</v>
      </c>
      <c r="B62" s="35" t="s">
        <v>288</v>
      </c>
      <c r="C62" s="35"/>
      <c r="D62" s="46">
        <f>'Баланс по кв'!G57</f>
        <v>0</v>
      </c>
      <c r="E62" s="36" t="s">
        <v>291</v>
      </c>
    </row>
    <row r="63" spans="1:5" ht="15">
      <c r="A63" s="37"/>
      <c r="B63" s="38">
        <v>2</v>
      </c>
      <c r="C63" s="38"/>
      <c r="D63" s="38"/>
      <c r="E63" s="34">
        <v>5</v>
      </c>
    </row>
    <row r="64" spans="1:5" ht="12.75" customHeight="1">
      <c r="A64" s="1409" t="s">
        <v>38</v>
      </c>
      <c r="B64" s="1410"/>
      <c r="C64" s="1410"/>
      <c r="D64" s="1410"/>
      <c r="E64" s="1413"/>
    </row>
    <row r="65" spans="1:5" ht="27.75" customHeight="1">
      <c r="A65" s="114" t="s">
        <v>39</v>
      </c>
      <c r="B65" s="38">
        <v>410</v>
      </c>
      <c r="C65" s="46">
        <v>4784872</v>
      </c>
      <c r="D65" s="46">
        <f>'Баланс по кв'!G60</f>
        <v>4782872</v>
      </c>
      <c r="E65" s="34">
        <f aca="true" t="shared" si="1" ref="E65:E107">D65-C65</f>
        <v>-2000</v>
      </c>
    </row>
    <row r="66" spans="1:5" ht="27.75" customHeight="1">
      <c r="A66" s="114" t="s">
        <v>40</v>
      </c>
      <c r="B66" s="38">
        <v>420</v>
      </c>
      <c r="C66" s="46"/>
      <c r="D66" s="46">
        <f>'Баланс по кв'!G61</f>
        <v>0</v>
      </c>
      <c r="E66" s="34">
        <f t="shared" si="1"/>
        <v>0</v>
      </c>
    </row>
    <row r="67" spans="1:8" ht="27.75" customHeight="1">
      <c r="A67" s="114" t="s">
        <v>41</v>
      </c>
      <c r="B67" s="38">
        <v>430</v>
      </c>
      <c r="C67" s="46">
        <v>4150545</v>
      </c>
      <c r="D67" s="46">
        <f>'Баланс по кв'!G62</f>
        <v>4151635</v>
      </c>
      <c r="E67" s="34">
        <f t="shared" si="1"/>
        <v>1090</v>
      </c>
      <c r="H67" s="119"/>
    </row>
    <row r="68" spans="1:5" ht="27.75" customHeight="1">
      <c r="A68" s="114" t="s">
        <v>42</v>
      </c>
      <c r="B68" s="38">
        <v>440</v>
      </c>
      <c r="C68" s="46"/>
      <c r="D68" s="46">
        <f>'Баланс по кв'!G63</f>
        <v>0</v>
      </c>
      <c r="E68" s="34">
        <f t="shared" si="1"/>
        <v>0</v>
      </c>
    </row>
    <row r="69" spans="1:8" ht="27.75" customHeight="1">
      <c r="A69" s="114" t="s">
        <v>43</v>
      </c>
      <c r="B69" s="38">
        <v>450</v>
      </c>
      <c r="C69" s="46">
        <v>5548689</v>
      </c>
      <c r="D69" s="46">
        <f>'Баланс по кв'!G64</f>
        <v>7886923</v>
      </c>
      <c r="E69" s="34">
        <f t="shared" si="1"/>
        <v>2338234</v>
      </c>
      <c r="F69" s="119"/>
      <c r="H69" s="119"/>
    </row>
    <row r="70" spans="1:5" ht="27.75" customHeight="1">
      <c r="A70" s="114" t="s">
        <v>44</v>
      </c>
      <c r="B70" s="38">
        <v>460</v>
      </c>
      <c r="C70" s="46"/>
      <c r="D70" s="46">
        <f>'Баланс по кв'!G65</f>
        <v>0</v>
      </c>
      <c r="E70" s="34">
        <f t="shared" si="1"/>
        <v>0</v>
      </c>
    </row>
    <row r="71" spans="1:5" ht="27.75" customHeight="1">
      <c r="A71" s="114" t="s">
        <v>45</v>
      </c>
      <c r="B71" s="38">
        <v>470</v>
      </c>
      <c r="C71" s="46"/>
      <c r="D71" s="46">
        <f>'Баланс по кв'!G66</f>
        <v>0</v>
      </c>
      <c r="E71" s="34">
        <f t="shared" si="1"/>
        <v>0</v>
      </c>
    </row>
    <row r="72" spans="1:5" ht="30.75" customHeight="1">
      <c r="A72" s="115" t="s">
        <v>46</v>
      </c>
      <c r="B72" s="49">
        <v>480</v>
      </c>
      <c r="C72" s="871">
        <f>C65+C66+C67-C68+C69+C70+C71</f>
        <v>14484106</v>
      </c>
      <c r="D72" s="871">
        <f>'Баланс по кв'!G67</f>
        <v>16821430</v>
      </c>
      <c r="E72" s="47">
        <f t="shared" si="1"/>
        <v>2337324</v>
      </c>
    </row>
    <row r="73" spans="1:5" ht="29.25" customHeight="1">
      <c r="A73" s="1415" t="s">
        <v>47</v>
      </c>
      <c r="B73" s="1415"/>
      <c r="C73" s="1415"/>
      <c r="D73" s="1415"/>
      <c r="E73" s="1415"/>
    </row>
    <row r="74" spans="1:5" ht="62.25" customHeight="1">
      <c r="A74" s="114" t="s">
        <v>48</v>
      </c>
      <c r="B74" s="38">
        <v>490</v>
      </c>
      <c r="C74" s="871">
        <f>C77+C78+C79+C80+C81+C82+C83+C84+C85+C86</f>
        <v>3330000</v>
      </c>
      <c r="D74" s="871">
        <f>'Баланс по кв'!G69</f>
        <v>1650000</v>
      </c>
      <c r="E74" s="47">
        <f t="shared" si="1"/>
        <v>-1680000</v>
      </c>
    </row>
    <row r="75" spans="1:5" ht="54.75" customHeight="1">
      <c r="A75" s="114" t="s">
        <v>49</v>
      </c>
      <c r="B75" s="38">
        <v>491</v>
      </c>
      <c r="C75" s="46">
        <f>C77+C79+C81+C83+C86</f>
        <v>0</v>
      </c>
      <c r="D75" s="46">
        <f>'Баланс по кв'!G70</f>
        <v>0</v>
      </c>
      <c r="E75" s="34">
        <f t="shared" si="1"/>
        <v>0</v>
      </c>
    </row>
    <row r="76" spans="1:5" ht="30.75" customHeight="1">
      <c r="A76" s="114" t="s">
        <v>115</v>
      </c>
      <c r="B76" s="38">
        <v>492</v>
      </c>
      <c r="C76" s="46"/>
      <c r="D76" s="46">
        <f>'Баланс по кв'!G71</f>
        <v>0</v>
      </c>
      <c r="E76" s="34">
        <f t="shared" si="1"/>
        <v>0</v>
      </c>
    </row>
    <row r="77" spans="1:5" ht="43.5" customHeight="1">
      <c r="A77" s="114" t="s">
        <v>116</v>
      </c>
      <c r="B77" s="38">
        <v>500</v>
      </c>
      <c r="C77" s="46"/>
      <c r="D77" s="46">
        <f>'Баланс по кв'!G72</f>
        <v>0</v>
      </c>
      <c r="E77" s="34">
        <f t="shared" si="1"/>
        <v>0</v>
      </c>
    </row>
    <row r="78" spans="1:5" ht="42.75" customHeight="1">
      <c r="A78" s="114" t="s">
        <v>117</v>
      </c>
      <c r="B78" s="38">
        <v>510</v>
      </c>
      <c r="C78" s="46"/>
      <c r="D78" s="46">
        <f>'Баланс по кв'!G73</f>
        <v>0</v>
      </c>
      <c r="E78" s="34">
        <f t="shared" si="1"/>
        <v>0</v>
      </c>
    </row>
    <row r="79" spans="1:5" ht="54.75" customHeight="1">
      <c r="A79" s="114" t="s">
        <v>118</v>
      </c>
      <c r="B79" s="38">
        <v>520</v>
      </c>
      <c r="C79" s="46"/>
      <c r="D79" s="46">
        <f>'Баланс по кв'!G74</f>
        <v>0</v>
      </c>
      <c r="E79" s="34">
        <f t="shared" si="1"/>
        <v>0</v>
      </c>
    </row>
    <row r="80" spans="1:5" ht="32.25" customHeight="1">
      <c r="A80" s="114" t="s">
        <v>119</v>
      </c>
      <c r="B80" s="38">
        <v>530</v>
      </c>
      <c r="C80" s="46"/>
      <c r="D80" s="46">
        <f>'Баланс по кв'!G75</f>
        <v>0</v>
      </c>
      <c r="E80" s="34">
        <f t="shared" si="1"/>
        <v>0</v>
      </c>
    </row>
    <row r="81" spans="1:5" ht="66.75" customHeight="1">
      <c r="A81" s="114" t="s">
        <v>120</v>
      </c>
      <c r="B81" s="38">
        <v>540</v>
      </c>
      <c r="C81" s="46"/>
      <c r="D81" s="46">
        <f>'Баланс по кв'!G76</f>
        <v>0</v>
      </c>
      <c r="E81" s="34">
        <f t="shared" si="1"/>
        <v>0</v>
      </c>
    </row>
    <row r="82" spans="1:5" ht="27.75" customHeight="1">
      <c r="A82" s="114" t="s">
        <v>121</v>
      </c>
      <c r="B82" s="38">
        <v>550</v>
      </c>
      <c r="C82" s="46"/>
      <c r="D82" s="46">
        <f>'Баланс по кв'!G77</f>
        <v>0</v>
      </c>
      <c r="E82" s="34">
        <f t="shared" si="1"/>
        <v>0</v>
      </c>
    </row>
    <row r="83" spans="1:5" ht="27.75" customHeight="1">
      <c r="A83" s="114" t="s">
        <v>122</v>
      </c>
      <c r="B83" s="38">
        <v>560</v>
      </c>
      <c r="C83" s="46"/>
      <c r="D83" s="46">
        <f>'Баланс по кв'!G78</f>
        <v>0</v>
      </c>
      <c r="E83" s="34">
        <f t="shared" si="1"/>
        <v>0</v>
      </c>
    </row>
    <row r="84" spans="1:8" ht="27.75" customHeight="1">
      <c r="A84" s="114" t="s">
        <v>123</v>
      </c>
      <c r="B84" s="38">
        <v>570</v>
      </c>
      <c r="C84" s="46">
        <v>3330000</v>
      </c>
      <c r="D84" s="46">
        <f>'Баланс по кв'!G79</f>
        <v>1650000</v>
      </c>
      <c r="E84" s="34">
        <f t="shared" si="1"/>
        <v>-1680000</v>
      </c>
      <c r="H84" s="119"/>
    </row>
    <row r="85" spans="1:5" ht="27.75" customHeight="1">
      <c r="A85" s="114" t="s">
        <v>124</v>
      </c>
      <c r="B85" s="38">
        <v>580</v>
      </c>
      <c r="C85" s="46"/>
      <c r="D85" s="46">
        <f>'Баланс по кв'!G80</f>
        <v>0</v>
      </c>
      <c r="E85" s="34">
        <f t="shared" si="1"/>
        <v>0</v>
      </c>
    </row>
    <row r="86" spans="1:5" ht="29.25" customHeight="1">
      <c r="A86" s="114" t="s">
        <v>125</v>
      </c>
      <c r="B86" s="38">
        <v>590</v>
      </c>
      <c r="C86" s="46"/>
      <c r="D86" s="46">
        <f>'Баланс по кв'!G81</f>
        <v>0</v>
      </c>
      <c r="E86" s="34">
        <f t="shared" si="1"/>
        <v>0</v>
      </c>
    </row>
    <row r="87" spans="1:5" ht="59.25" customHeight="1">
      <c r="A87" s="115" t="s">
        <v>126</v>
      </c>
      <c r="B87" s="49">
        <v>600</v>
      </c>
      <c r="C87" s="871">
        <f>C88</f>
        <v>1207010</v>
      </c>
      <c r="D87" s="46">
        <f>'Баланс по кв'!G82</f>
        <v>1304502</v>
      </c>
      <c r="E87" s="34">
        <f t="shared" si="1"/>
        <v>97492</v>
      </c>
    </row>
    <row r="88" spans="1:5" ht="52.5" customHeight="1">
      <c r="A88" s="116" t="s">
        <v>127</v>
      </c>
      <c r="B88" s="38">
        <v>601</v>
      </c>
      <c r="C88" s="46">
        <f>C90+C92+C94+C96+C97+C98+C99+C100+C101+C105</f>
        <v>1207010</v>
      </c>
      <c r="D88" s="46">
        <f>'Баланс по кв'!G83</f>
        <v>1304502</v>
      </c>
      <c r="E88" s="34">
        <f t="shared" si="1"/>
        <v>97492</v>
      </c>
    </row>
    <row r="89" spans="1:5" ht="29.25" customHeight="1">
      <c r="A89" s="114" t="s">
        <v>128</v>
      </c>
      <c r="B89" s="38">
        <v>602</v>
      </c>
      <c r="C89" s="46"/>
      <c r="D89" s="46">
        <f>'Баланс по кв'!G84</f>
        <v>0</v>
      </c>
      <c r="E89" s="34">
        <f t="shared" si="1"/>
        <v>0</v>
      </c>
    </row>
    <row r="90" spans="1:5" ht="29.25" customHeight="1">
      <c r="A90" s="114" t="s">
        <v>129</v>
      </c>
      <c r="B90" s="38">
        <v>610</v>
      </c>
      <c r="C90" s="46">
        <v>0</v>
      </c>
      <c r="D90" s="46">
        <f>'Баланс по кв'!G85</f>
        <v>0</v>
      </c>
      <c r="E90" s="34">
        <f t="shared" si="1"/>
        <v>0</v>
      </c>
    </row>
    <row r="91" spans="1:5" ht="29.25" customHeight="1">
      <c r="A91" s="114" t="s">
        <v>130</v>
      </c>
      <c r="B91" s="38">
        <v>620</v>
      </c>
      <c r="C91" s="46"/>
      <c r="D91" s="46">
        <f>'Баланс по кв'!G86</f>
        <v>0</v>
      </c>
      <c r="E91" s="34">
        <f t="shared" si="1"/>
        <v>0</v>
      </c>
    </row>
    <row r="92" spans="1:5" ht="40.5" customHeight="1">
      <c r="A92" s="114" t="s">
        <v>131</v>
      </c>
      <c r="B92" s="38">
        <v>630</v>
      </c>
      <c r="C92" s="46">
        <v>1000</v>
      </c>
      <c r="D92" s="46">
        <f>'Баланс по кв'!G87</f>
        <v>1000</v>
      </c>
      <c r="E92" s="34">
        <f t="shared" si="1"/>
        <v>0</v>
      </c>
    </row>
    <row r="93" spans="1:5" ht="30" customHeight="1">
      <c r="A93" s="114" t="s">
        <v>132</v>
      </c>
      <c r="B93" s="38">
        <v>640</v>
      </c>
      <c r="C93" s="46"/>
      <c r="D93" s="46">
        <f>'Баланс по кв'!G88</f>
        <v>0</v>
      </c>
      <c r="E93" s="34">
        <f t="shared" si="1"/>
        <v>0</v>
      </c>
    </row>
    <row r="94" spans="1:5" ht="59.25" customHeight="1">
      <c r="A94" s="114" t="s">
        <v>133</v>
      </c>
      <c r="B94" s="38">
        <v>650</v>
      </c>
      <c r="C94" s="46"/>
      <c r="D94" s="46">
        <f>'Баланс по кв'!G89</f>
        <v>0</v>
      </c>
      <c r="E94" s="34">
        <f t="shared" si="1"/>
        <v>0</v>
      </c>
    </row>
    <row r="95" spans="1:5" ht="60" customHeight="1">
      <c r="A95" s="114" t="s">
        <v>134</v>
      </c>
      <c r="B95" s="38">
        <v>660</v>
      </c>
      <c r="C95" s="46"/>
      <c r="D95" s="46">
        <f>'Баланс по кв'!G90</f>
        <v>0</v>
      </c>
      <c r="E95" s="34">
        <f t="shared" si="1"/>
        <v>0</v>
      </c>
    </row>
    <row r="96" spans="1:5" ht="29.25" customHeight="1">
      <c r="A96" s="114" t="s">
        <v>135</v>
      </c>
      <c r="B96" s="38">
        <v>670</v>
      </c>
      <c r="C96" s="46">
        <v>1002549</v>
      </c>
      <c r="D96" s="46">
        <f>'Баланс по кв'!G91</f>
        <v>970000</v>
      </c>
      <c r="E96" s="34">
        <f t="shared" si="1"/>
        <v>-32549</v>
      </c>
    </row>
    <row r="97" spans="1:5" ht="29.25" customHeight="1">
      <c r="A97" s="114" t="s">
        <v>136</v>
      </c>
      <c r="B97" s="38">
        <v>680</v>
      </c>
      <c r="C97" s="46">
        <v>110000</v>
      </c>
      <c r="D97" s="46">
        <f>'Баланс по кв'!G92</f>
        <v>190136</v>
      </c>
      <c r="E97" s="34">
        <f t="shared" si="1"/>
        <v>80136</v>
      </c>
    </row>
    <row r="98" spans="1:5" ht="29.25" customHeight="1">
      <c r="A98" s="114" t="s">
        <v>137</v>
      </c>
      <c r="B98" s="38">
        <v>690</v>
      </c>
      <c r="C98" s="46"/>
      <c r="D98" s="46">
        <f>'Баланс по кв'!G93</f>
        <v>0</v>
      </c>
      <c r="E98" s="34">
        <f t="shared" si="1"/>
        <v>0</v>
      </c>
    </row>
    <row r="99" spans="1:5" ht="41.25" customHeight="1">
      <c r="A99" s="114" t="s">
        <v>138</v>
      </c>
      <c r="B99" s="38">
        <v>700</v>
      </c>
      <c r="C99" s="46">
        <v>47171</v>
      </c>
      <c r="D99" s="46">
        <f>'Баланс по кв'!G94</f>
        <v>46366</v>
      </c>
      <c r="E99" s="34">
        <f t="shared" si="1"/>
        <v>-805</v>
      </c>
    </row>
    <row r="100" spans="1:5" ht="29.25" customHeight="1">
      <c r="A100" s="114" t="s">
        <v>139</v>
      </c>
      <c r="B100" s="38">
        <v>710</v>
      </c>
      <c r="C100" s="46"/>
      <c r="D100" s="46">
        <f>'Баланс по кв'!G95</f>
        <v>0</v>
      </c>
      <c r="E100" s="34">
        <f t="shared" si="1"/>
        <v>0</v>
      </c>
    </row>
    <row r="101" spans="1:5" ht="29.25" customHeight="1">
      <c r="A101" s="114" t="s">
        <v>140</v>
      </c>
      <c r="B101" s="38">
        <v>720</v>
      </c>
      <c r="C101" s="46">
        <v>35290</v>
      </c>
      <c r="D101" s="46">
        <f>'Баланс по кв'!G96</f>
        <v>45000</v>
      </c>
      <c r="E101" s="34">
        <f t="shared" si="1"/>
        <v>9710</v>
      </c>
    </row>
    <row r="102" spans="1:5" ht="29.25" customHeight="1">
      <c r="A102" s="114" t="s">
        <v>141</v>
      </c>
      <c r="B102" s="38">
        <v>730</v>
      </c>
      <c r="C102" s="46"/>
      <c r="D102" s="46">
        <f>'Баланс по кв'!G97</f>
        <v>0</v>
      </c>
      <c r="E102" s="34">
        <f t="shared" si="1"/>
        <v>0</v>
      </c>
    </row>
    <row r="103" spans="1:5" ht="29.25" customHeight="1">
      <c r="A103" s="114" t="s">
        <v>142</v>
      </c>
      <c r="B103" s="38">
        <v>740</v>
      </c>
      <c r="C103" s="46"/>
      <c r="D103" s="46">
        <f>'Баланс по кв'!G98</f>
        <v>0</v>
      </c>
      <c r="E103" s="34">
        <f t="shared" si="1"/>
        <v>0</v>
      </c>
    </row>
    <row r="104" spans="1:5" ht="29.25" customHeight="1">
      <c r="A104" s="114" t="s">
        <v>143</v>
      </c>
      <c r="B104" s="38">
        <v>750</v>
      </c>
      <c r="C104" s="46"/>
      <c r="D104" s="46">
        <f>'Баланс по кв'!G99</f>
        <v>0</v>
      </c>
      <c r="E104" s="34">
        <f t="shared" si="1"/>
        <v>0</v>
      </c>
    </row>
    <row r="105" spans="1:5" ht="29.25" customHeight="1">
      <c r="A105" s="114" t="s">
        <v>144</v>
      </c>
      <c r="B105" s="38">
        <v>760</v>
      </c>
      <c r="C105" s="46">
        <v>11000</v>
      </c>
      <c r="D105" s="46">
        <f>'Баланс по кв'!G100</f>
        <v>52000</v>
      </c>
      <c r="E105" s="34">
        <f t="shared" si="1"/>
        <v>41000</v>
      </c>
    </row>
    <row r="106" spans="1:5" ht="29.25" customHeight="1">
      <c r="A106" s="115" t="s">
        <v>145</v>
      </c>
      <c r="B106" s="49">
        <v>770</v>
      </c>
      <c r="C106" s="871">
        <f>C74+C87</f>
        <v>4537010</v>
      </c>
      <c r="D106" s="871">
        <f>'Баланс по кв'!G101</f>
        <v>2954502</v>
      </c>
      <c r="E106" s="34">
        <f t="shared" si="1"/>
        <v>-1582508</v>
      </c>
    </row>
    <row r="107" spans="1:5" ht="29.25" customHeight="1">
      <c r="A107" s="115" t="s">
        <v>146</v>
      </c>
      <c r="B107" s="49">
        <v>780</v>
      </c>
      <c r="C107" s="871">
        <f>C72+C106</f>
        <v>19021116</v>
      </c>
      <c r="D107" s="871">
        <f>'Баланс по кв'!G102</f>
        <v>19775932</v>
      </c>
      <c r="E107" s="47">
        <f t="shared" si="1"/>
        <v>754816</v>
      </c>
    </row>
    <row r="108" spans="1:5" ht="12.75">
      <c r="A108" s="50"/>
      <c r="B108" s="50"/>
      <c r="C108" s="51">
        <f>C107-C61</f>
        <v>0</v>
      </c>
      <c r="D108" s="51">
        <f>D107-D61</f>
        <v>0</v>
      </c>
      <c r="E108" s="51">
        <f>E107-E61</f>
        <v>0</v>
      </c>
    </row>
    <row r="109" spans="1:6" ht="15.75">
      <c r="A109" s="14"/>
      <c r="B109" s="14"/>
      <c r="C109" s="14"/>
      <c r="D109" s="14"/>
      <c r="E109" s="15"/>
      <c r="F109" s="14"/>
    </row>
    <row r="110" spans="1:5" s="52" customFormat="1" ht="15.75">
      <c r="A110" s="137" t="s">
        <v>349</v>
      </c>
      <c r="B110" s="163"/>
      <c r="C110" s="137" t="s">
        <v>350</v>
      </c>
      <c r="D110" s="137"/>
      <c r="E110" s="14"/>
    </row>
    <row r="111" spans="1:5" s="52" customFormat="1" ht="15.75">
      <c r="A111" s="138" t="s">
        <v>351</v>
      </c>
      <c r="B111" s="163"/>
      <c r="C111" s="164"/>
      <c r="D111" s="139"/>
      <c r="E111" s="14"/>
    </row>
    <row r="112" spans="1:5" s="52" customFormat="1" ht="15.75">
      <c r="A112" s="163"/>
      <c r="B112" s="163"/>
      <c r="C112" s="165"/>
      <c r="D112" s="140"/>
      <c r="E112" s="14"/>
    </row>
    <row r="113" spans="1:5" ht="15.75">
      <c r="A113" s="137" t="s">
        <v>1459</v>
      </c>
      <c r="B113" s="163"/>
      <c r="C113" s="137" t="s">
        <v>1448</v>
      </c>
      <c r="D113" s="137"/>
      <c r="E113" s="14"/>
    </row>
    <row r="114" spans="1:6" ht="15.75">
      <c r="A114" s="163"/>
      <c r="B114" s="163"/>
      <c r="C114" s="163"/>
      <c r="D114"/>
      <c r="E114"/>
      <c r="F114" s="14"/>
    </row>
    <row r="115" spans="1:6" ht="15.75">
      <c r="A115" s="137" t="s">
        <v>1112</v>
      </c>
      <c r="B115" s="163"/>
      <c r="C115" s="137" t="s">
        <v>352</v>
      </c>
      <c r="D115" s="14"/>
      <c r="E115" s="15"/>
      <c r="F115" s="14"/>
    </row>
  </sheetData>
  <sheetProtection/>
  <mergeCells count="4">
    <mergeCell ref="A12:E12"/>
    <mergeCell ref="A33:E33"/>
    <mergeCell ref="A64:E64"/>
    <mergeCell ref="A73:E73"/>
  </mergeCells>
  <printOptions horizontalCentered="1"/>
  <pageMargins left="0.3937007874015748" right="0.3937007874015748" top="0.5" bottom="0.35" header="0.37" footer="0.2755905511811024"/>
  <pageSetup fitToHeight="6" horizontalDpi="600" verticalDpi="600" orientation="portrait" paperSize="9" scale="88" r:id="rId2"/>
  <rowBreaks count="4" manualBreakCount="4">
    <brk id="9" max="255" man="1"/>
    <brk id="37" max="255" man="1"/>
    <brk id="61" max="255" man="1"/>
    <brk id="84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showZeros="0" zoomScaleSheetLayoutView="100" zoomScalePageLayoutView="0" workbookViewId="0" topLeftCell="A1">
      <selection activeCell="M9" sqref="M9"/>
    </sheetView>
  </sheetViews>
  <sheetFormatPr defaultColWidth="9.00390625" defaultRowHeight="12.75"/>
  <cols>
    <col min="1" max="1" width="44.25390625" style="53" customWidth="1"/>
    <col min="2" max="2" width="5.875" style="31" customWidth="1"/>
    <col min="3" max="3" width="9.00390625" style="31" customWidth="1"/>
    <col min="4" max="4" width="8.875" style="171" customWidth="1"/>
    <col min="5" max="5" width="10.25390625" style="31" customWidth="1"/>
    <col min="6" max="6" width="9.25390625" style="31" customWidth="1"/>
    <col min="7" max="7" width="9.375" style="31" customWidth="1"/>
    <col min="8" max="8" width="8.625" style="31" customWidth="1"/>
    <col min="9" max="9" width="8.00390625" style="31" customWidth="1"/>
    <col min="10" max="16384" width="9.125" style="31" customWidth="1"/>
  </cols>
  <sheetData>
    <row r="1" spans="1:9" ht="63" customHeight="1" thickBot="1">
      <c r="A1" s="1416" t="s">
        <v>1097</v>
      </c>
      <c r="B1" s="1416"/>
      <c r="C1" s="1416"/>
      <c r="D1" s="1416"/>
      <c r="E1" s="1416"/>
      <c r="F1" s="1416"/>
      <c r="G1" s="1416"/>
      <c r="H1" s="1416"/>
      <c r="I1" s="1416"/>
    </row>
    <row r="2" spans="1:9" ht="32.25" customHeight="1" thickBot="1">
      <c r="A2" s="839" t="s">
        <v>147</v>
      </c>
      <c r="B2" s="682" t="s">
        <v>1283</v>
      </c>
      <c r="C2" s="683" t="s">
        <v>1277</v>
      </c>
      <c r="D2" s="684" t="s">
        <v>687</v>
      </c>
      <c r="E2" s="683" t="s">
        <v>1278</v>
      </c>
      <c r="F2" s="685" t="s">
        <v>1279</v>
      </c>
      <c r="G2" s="685" t="s">
        <v>1280</v>
      </c>
      <c r="H2" s="685" t="s">
        <v>1281</v>
      </c>
      <c r="I2" s="686" t="s">
        <v>1282</v>
      </c>
    </row>
    <row r="3" spans="1:9" ht="33.75" customHeight="1">
      <c r="A3" s="687" t="s">
        <v>149</v>
      </c>
      <c r="B3" s="677">
        <v>10</v>
      </c>
      <c r="C3" s="678">
        <v>28792.075</v>
      </c>
      <c r="D3" s="679">
        <v>42805.286</v>
      </c>
      <c r="E3" s="680">
        <v>54399</v>
      </c>
      <c r="F3" s="681">
        <v>59895</v>
      </c>
      <c r="G3" s="681">
        <v>61502</v>
      </c>
      <c r="H3" s="681">
        <v>63803</v>
      </c>
      <c r="I3" s="688">
        <v>66115</v>
      </c>
    </row>
    <row r="4" spans="1:9" ht="38.25" customHeight="1">
      <c r="A4" s="689" t="s">
        <v>150</v>
      </c>
      <c r="B4" s="56">
        <v>20</v>
      </c>
      <c r="C4" s="166">
        <v>21900.419</v>
      </c>
      <c r="D4" s="167">
        <v>31371.807</v>
      </c>
      <c r="E4" s="168">
        <v>40745</v>
      </c>
      <c r="F4" s="676">
        <v>45336</v>
      </c>
      <c r="G4" s="676">
        <v>46552</v>
      </c>
      <c r="H4" s="676">
        <v>48394</v>
      </c>
      <c r="I4" s="690">
        <v>50077</v>
      </c>
    </row>
    <row r="5" spans="1:9" ht="49.5" customHeight="1">
      <c r="A5" s="691" t="s">
        <v>151</v>
      </c>
      <c r="B5" s="59">
        <v>30</v>
      </c>
      <c r="C5" s="166">
        <v>6891.656</v>
      </c>
      <c r="D5" s="167">
        <v>11433.479</v>
      </c>
      <c r="E5" s="168">
        <f>E3-E4</f>
        <v>13654</v>
      </c>
      <c r="F5" s="676">
        <f>F3-F4</f>
        <v>14559</v>
      </c>
      <c r="G5" s="676">
        <f>G3-G4</f>
        <v>14950</v>
      </c>
      <c r="H5" s="676">
        <f>H3-H4</f>
        <v>15409</v>
      </c>
      <c r="I5" s="690">
        <f>I3-I4</f>
        <v>16038</v>
      </c>
    </row>
    <row r="6" spans="1:9" ht="47.25" customHeight="1">
      <c r="A6" s="691" t="s">
        <v>307</v>
      </c>
      <c r="B6" s="61">
        <v>40</v>
      </c>
      <c r="C6" s="166">
        <v>5217.458</v>
      </c>
      <c r="D6" s="167">
        <v>7510.653</v>
      </c>
      <c r="E6" s="168">
        <f>E7+E8+E9</f>
        <v>8561</v>
      </c>
      <c r="F6" s="676">
        <f>F7+F8+F9</f>
        <v>9289</v>
      </c>
      <c r="G6" s="676">
        <f>G7+G8+G9</f>
        <v>9571</v>
      </c>
      <c r="H6" s="676">
        <f>H7+H8+H9</f>
        <v>10192.55</v>
      </c>
      <c r="I6" s="690">
        <f>I7+I8+I9</f>
        <v>10722</v>
      </c>
    </row>
    <row r="7" spans="1:9" ht="25.5" customHeight="1">
      <c r="A7" s="689" t="s">
        <v>1258</v>
      </c>
      <c r="B7" s="62">
        <v>50</v>
      </c>
      <c r="C7" s="166">
        <v>73.621</v>
      </c>
      <c r="D7" s="167">
        <v>90.904</v>
      </c>
      <c r="E7" s="168">
        <v>151</v>
      </c>
      <c r="F7" s="676">
        <v>149</v>
      </c>
      <c r="G7" s="676">
        <v>171</v>
      </c>
      <c r="H7" s="167">
        <f>G7*1.05</f>
        <v>179.55</v>
      </c>
      <c r="I7" s="690">
        <v>189</v>
      </c>
    </row>
    <row r="8" spans="1:9" ht="25.5" customHeight="1">
      <c r="A8" s="689" t="s">
        <v>1259</v>
      </c>
      <c r="B8" s="56">
        <v>60</v>
      </c>
      <c r="C8" s="166">
        <v>1228.528</v>
      </c>
      <c r="D8" s="167">
        <v>1796.065</v>
      </c>
      <c r="E8" s="168">
        <v>2622</v>
      </c>
      <c r="F8" s="676">
        <v>2930</v>
      </c>
      <c r="G8" s="676">
        <v>3150</v>
      </c>
      <c r="H8" s="676">
        <v>3451</v>
      </c>
      <c r="I8" s="690">
        <v>3643</v>
      </c>
    </row>
    <row r="9" spans="1:9" ht="25.5" customHeight="1">
      <c r="A9" s="689" t="s">
        <v>1260</v>
      </c>
      <c r="B9" s="56">
        <v>70</v>
      </c>
      <c r="C9" s="166">
        <v>3915.309</v>
      </c>
      <c r="D9" s="167">
        <v>5623.684</v>
      </c>
      <c r="E9" s="168">
        <v>5788</v>
      </c>
      <c r="F9" s="676">
        <v>6210</v>
      </c>
      <c r="G9" s="676">
        <v>6250</v>
      </c>
      <c r="H9" s="676">
        <v>6562</v>
      </c>
      <c r="I9" s="690">
        <v>6890</v>
      </c>
    </row>
    <row r="10" spans="1:9" ht="48" customHeight="1">
      <c r="A10" s="689" t="s">
        <v>155</v>
      </c>
      <c r="B10" s="56">
        <v>80</v>
      </c>
      <c r="C10" s="166">
        <v>0</v>
      </c>
      <c r="D10" s="167">
        <v>0</v>
      </c>
      <c r="E10" s="168">
        <v>0</v>
      </c>
      <c r="F10" s="676"/>
      <c r="G10" s="676"/>
      <c r="H10" s="676"/>
      <c r="I10" s="690"/>
    </row>
    <row r="11" spans="1:9" ht="25.5" customHeight="1">
      <c r="A11" s="689" t="s">
        <v>156</v>
      </c>
      <c r="B11" s="56">
        <v>90</v>
      </c>
      <c r="C11" s="166">
        <v>530.437</v>
      </c>
      <c r="D11" s="167">
        <v>619.741</v>
      </c>
      <c r="E11" s="168">
        <v>725</v>
      </c>
      <c r="F11" s="676">
        <v>440</v>
      </c>
      <c r="G11" s="676">
        <v>450</v>
      </c>
      <c r="H11" s="676">
        <v>630</v>
      </c>
      <c r="I11" s="690">
        <v>700</v>
      </c>
    </row>
    <row r="12" spans="1:9" ht="45.75" customHeight="1">
      <c r="A12" s="691" t="s">
        <v>157</v>
      </c>
      <c r="B12" s="54">
        <v>100</v>
      </c>
      <c r="C12" s="166">
        <v>2204.635</v>
      </c>
      <c r="D12" s="167">
        <v>4542.567</v>
      </c>
      <c r="E12" s="168">
        <f>E5-E6+E11</f>
        <v>5818</v>
      </c>
      <c r="F12" s="676">
        <f>F5-F6+F11</f>
        <v>5710</v>
      </c>
      <c r="G12" s="676">
        <f>G5-G6+G11</f>
        <v>5829</v>
      </c>
      <c r="H12" s="676">
        <f>H5-H6+H11</f>
        <v>5846.450000000001</v>
      </c>
      <c r="I12" s="690">
        <f>I5-I6+I11</f>
        <v>6016</v>
      </c>
    </row>
    <row r="13" spans="1:9" ht="46.5" customHeight="1">
      <c r="A13" s="691" t="s">
        <v>158</v>
      </c>
      <c r="B13" s="54">
        <v>110</v>
      </c>
      <c r="C13" s="166">
        <v>75.571</v>
      </c>
      <c r="D13" s="167">
        <v>0</v>
      </c>
      <c r="E13" s="168">
        <v>0</v>
      </c>
      <c r="F13" s="676"/>
      <c r="G13" s="676"/>
      <c r="H13" s="676"/>
      <c r="I13" s="690"/>
    </row>
    <row r="14" spans="1:9" ht="24" customHeight="1">
      <c r="A14" s="689" t="s">
        <v>305</v>
      </c>
      <c r="B14" s="63">
        <v>120</v>
      </c>
      <c r="C14" s="166">
        <v>0</v>
      </c>
      <c r="D14" s="167">
        <v>0</v>
      </c>
      <c r="E14" s="168">
        <v>0</v>
      </c>
      <c r="F14" s="676"/>
      <c r="G14" s="676"/>
      <c r="H14" s="676"/>
      <c r="I14" s="690"/>
    </row>
    <row r="15" spans="1:9" ht="24.75" customHeight="1">
      <c r="A15" s="689" t="s">
        <v>159</v>
      </c>
      <c r="B15" s="63">
        <v>130</v>
      </c>
      <c r="C15" s="166">
        <v>0</v>
      </c>
      <c r="D15" s="167">
        <v>0</v>
      </c>
      <c r="E15" s="168">
        <v>0</v>
      </c>
      <c r="F15" s="676"/>
      <c r="G15" s="676"/>
      <c r="H15" s="676"/>
      <c r="I15" s="690"/>
    </row>
    <row r="16" spans="1:9" ht="22.5" customHeight="1">
      <c r="A16" s="689" t="s">
        <v>160</v>
      </c>
      <c r="B16" s="63">
        <v>140</v>
      </c>
      <c r="C16" s="166">
        <v>0</v>
      </c>
      <c r="D16" s="167">
        <v>0</v>
      </c>
      <c r="E16" s="168">
        <v>0</v>
      </c>
      <c r="F16" s="676"/>
      <c r="G16" s="676"/>
      <c r="H16" s="676"/>
      <c r="I16" s="690"/>
    </row>
    <row r="17" spans="1:9" ht="25.5" customHeight="1">
      <c r="A17" s="692" t="s">
        <v>161</v>
      </c>
      <c r="B17" s="63">
        <v>150</v>
      </c>
      <c r="C17" s="166">
        <v>75.571</v>
      </c>
      <c r="D17" s="167">
        <v>0</v>
      </c>
      <c r="E17" s="168">
        <v>0</v>
      </c>
      <c r="F17" s="676"/>
      <c r="G17" s="676"/>
      <c r="H17" s="676"/>
      <c r="I17" s="690"/>
    </row>
    <row r="18" spans="1:9" ht="15" customHeight="1">
      <c r="A18" s="689" t="s">
        <v>304</v>
      </c>
      <c r="B18" s="63">
        <v>160</v>
      </c>
      <c r="C18" s="166">
        <v>0</v>
      </c>
      <c r="D18" s="167">
        <v>0</v>
      </c>
      <c r="E18" s="168">
        <v>0</v>
      </c>
      <c r="F18" s="676"/>
      <c r="G18" s="676"/>
      <c r="H18" s="676"/>
      <c r="I18" s="690"/>
    </row>
    <row r="19" spans="1:9" ht="45" customHeight="1">
      <c r="A19" s="691" t="s">
        <v>162</v>
      </c>
      <c r="B19" s="54">
        <v>170</v>
      </c>
      <c r="C19" s="166">
        <v>591.987</v>
      </c>
      <c r="D19" s="167">
        <v>780.691</v>
      </c>
      <c r="E19" s="168">
        <v>564.112</v>
      </c>
      <c r="F19" s="167">
        <v>360.8</v>
      </c>
      <c r="G19" s="676">
        <v>159</v>
      </c>
      <c r="H19" s="676">
        <v>7</v>
      </c>
      <c r="I19" s="690"/>
    </row>
    <row r="20" spans="1:9" ht="25.5" customHeight="1">
      <c r="A20" s="692" t="s">
        <v>163</v>
      </c>
      <c r="B20" s="63">
        <v>180</v>
      </c>
      <c r="C20" s="166">
        <v>432.31</v>
      </c>
      <c r="D20" s="167">
        <v>780.691</v>
      </c>
      <c r="E20" s="168">
        <v>564.112</v>
      </c>
      <c r="F20" s="167">
        <v>360.8</v>
      </c>
      <c r="G20" s="676">
        <v>159</v>
      </c>
      <c r="H20" s="676">
        <v>7</v>
      </c>
      <c r="I20" s="690"/>
    </row>
    <row r="21" spans="1:9" ht="45" customHeight="1">
      <c r="A21" s="689" t="s">
        <v>164</v>
      </c>
      <c r="B21" s="63">
        <v>190</v>
      </c>
      <c r="C21" s="166">
        <v>0</v>
      </c>
      <c r="D21" s="167">
        <v>0</v>
      </c>
      <c r="E21" s="168">
        <v>0</v>
      </c>
      <c r="F21" s="676"/>
      <c r="G21" s="676"/>
      <c r="H21" s="676"/>
      <c r="I21" s="690"/>
    </row>
    <row r="22" spans="1:9" ht="25.5" customHeight="1">
      <c r="A22" s="692" t="s">
        <v>165</v>
      </c>
      <c r="B22" s="63">
        <v>200</v>
      </c>
      <c r="C22" s="166">
        <v>0</v>
      </c>
      <c r="D22" s="167">
        <v>0</v>
      </c>
      <c r="E22" s="168">
        <v>0</v>
      </c>
      <c r="F22" s="676"/>
      <c r="G22" s="676"/>
      <c r="H22" s="676"/>
      <c r="I22" s="690"/>
    </row>
    <row r="23" spans="1:9" ht="25.5" customHeight="1">
      <c r="A23" s="689" t="s">
        <v>306</v>
      </c>
      <c r="B23" s="63">
        <v>210</v>
      </c>
      <c r="C23" s="166">
        <v>159.677</v>
      </c>
      <c r="D23" s="167">
        <v>0</v>
      </c>
      <c r="E23" s="168">
        <v>0</v>
      </c>
      <c r="F23" s="676"/>
      <c r="G23" s="676"/>
      <c r="H23" s="676"/>
      <c r="I23" s="690"/>
    </row>
    <row r="24" spans="1:9" ht="46.5" customHeight="1">
      <c r="A24" s="691" t="s">
        <v>166</v>
      </c>
      <c r="B24" s="54">
        <v>220</v>
      </c>
      <c r="C24" s="166">
        <v>1688.219</v>
      </c>
      <c r="D24" s="167">
        <v>3761.876</v>
      </c>
      <c r="E24" s="168">
        <f>E12-E19</f>
        <v>5253.888</v>
      </c>
      <c r="F24" s="167">
        <f>F12-F19</f>
        <v>5349.2</v>
      </c>
      <c r="G24" s="167">
        <f>G12-G19</f>
        <v>5670</v>
      </c>
      <c r="H24" s="167">
        <f>H12-H19</f>
        <v>5839.450000000001</v>
      </c>
      <c r="I24" s="693">
        <f>I12-I19</f>
        <v>6016</v>
      </c>
    </row>
    <row r="25" spans="1:9" ht="25.5" customHeight="1">
      <c r="A25" s="689" t="s">
        <v>167</v>
      </c>
      <c r="B25" s="63">
        <v>230</v>
      </c>
      <c r="C25" s="166">
        <v>0</v>
      </c>
      <c r="D25" s="167">
        <v>0</v>
      </c>
      <c r="E25" s="168">
        <v>0</v>
      </c>
      <c r="F25" s="676"/>
      <c r="G25" s="676"/>
      <c r="H25" s="676"/>
      <c r="I25" s="690"/>
    </row>
    <row r="26" spans="1:9" ht="48.75" customHeight="1">
      <c r="A26" s="691" t="s">
        <v>168</v>
      </c>
      <c r="B26" s="54">
        <v>240</v>
      </c>
      <c r="C26" s="166">
        <v>1688.219</v>
      </c>
      <c r="D26" s="167">
        <v>3761.876</v>
      </c>
      <c r="E26" s="168">
        <f>E24</f>
        <v>5253.888</v>
      </c>
      <c r="F26" s="167">
        <f>F24</f>
        <v>5349.2</v>
      </c>
      <c r="G26" s="167">
        <f>G24</f>
        <v>5670</v>
      </c>
      <c r="H26" s="167">
        <f>H24</f>
        <v>5839.450000000001</v>
      </c>
      <c r="I26" s="693">
        <f>I24</f>
        <v>6016</v>
      </c>
    </row>
    <row r="27" spans="1:9" ht="24.75" customHeight="1">
      <c r="A27" s="689" t="s">
        <v>169</v>
      </c>
      <c r="B27" s="63">
        <v>250</v>
      </c>
      <c r="C27" s="166">
        <v>165.785</v>
      </c>
      <c r="D27" s="167">
        <v>290.347</v>
      </c>
      <c r="E27" s="168">
        <v>380</v>
      </c>
      <c r="F27" s="167">
        <f>F26*0.075</f>
        <v>401.19</v>
      </c>
      <c r="G27" s="167">
        <f>G26*0.075</f>
        <v>425.25</v>
      </c>
      <c r="H27" s="167">
        <f>H26*0.075</f>
        <v>437.95875000000007</v>
      </c>
      <c r="I27" s="693">
        <f>I26*0.075</f>
        <v>451.2</v>
      </c>
    </row>
    <row r="28" spans="1:9" ht="24.75" customHeight="1">
      <c r="A28" s="689" t="s">
        <v>170</v>
      </c>
      <c r="B28" s="63">
        <v>251</v>
      </c>
      <c r="C28" s="166">
        <v>0</v>
      </c>
      <c r="D28" s="167">
        <v>0</v>
      </c>
      <c r="E28" s="168">
        <v>0</v>
      </c>
      <c r="F28" s="676"/>
      <c r="G28" s="676"/>
      <c r="H28" s="676"/>
      <c r="I28" s="690"/>
    </row>
    <row r="29" spans="1:9" ht="24.75" customHeight="1">
      <c r="A29" s="689" t="s">
        <v>171</v>
      </c>
      <c r="B29" s="63">
        <v>260</v>
      </c>
      <c r="C29" s="166">
        <v>156.895</v>
      </c>
      <c r="D29" s="167">
        <v>277.722</v>
      </c>
      <c r="E29" s="168">
        <v>452</v>
      </c>
      <c r="F29" s="167">
        <f>(F26-F27)*0.08</f>
        <v>395.8408</v>
      </c>
      <c r="G29" s="167">
        <f>(G26-G27)*0.08</f>
        <v>419.58</v>
      </c>
      <c r="H29" s="167">
        <f>(H26-H27)*0.08</f>
        <v>432.11930000000007</v>
      </c>
      <c r="I29" s="693">
        <f>(I26-I27)*0.08</f>
        <v>445.184</v>
      </c>
    </row>
    <row r="30" spans="1:9" ht="45.75" customHeight="1" thickBot="1">
      <c r="A30" s="694" t="s">
        <v>172</v>
      </c>
      <c r="B30" s="695">
        <v>270</v>
      </c>
      <c r="C30" s="696">
        <v>1365.539</v>
      </c>
      <c r="D30" s="697">
        <v>3193.807</v>
      </c>
      <c r="E30" s="698">
        <f>E26-E27-E29</f>
        <v>4421.888</v>
      </c>
      <c r="F30" s="838">
        <f>F26-F27-F29</f>
        <v>4552.1692</v>
      </c>
      <c r="G30" s="697">
        <f>G26-G27-G29</f>
        <v>4825.17</v>
      </c>
      <c r="H30" s="697">
        <f>H26-H27-H29</f>
        <v>4969.371950000001</v>
      </c>
      <c r="I30" s="699">
        <f>I26-I27-I29</f>
        <v>5119.616</v>
      </c>
    </row>
    <row r="32" spans="1:5" ht="22.5" customHeight="1">
      <c r="A32" s="137"/>
      <c r="B32" s="172"/>
      <c r="C32" s="173"/>
      <c r="E32" s="118"/>
    </row>
    <row r="33" spans="1:5" ht="14.25" customHeight="1">
      <c r="A33" s="138"/>
      <c r="B33" s="172"/>
      <c r="C33" s="138"/>
      <c r="E33" s="118"/>
    </row>
    <row r="34" spans="1:3" ht="11.25" customHeight="1">
      <c r="A34" s="172"/>
      <c r="B34" s="172"/>
      <c r="C34" s="172"/>
    </row>
    <row r="35" spans="1:3" ht="12.75">
      <c r="A35" s="137"/>
      <c r="B35" s="172"/>
      <c r="C35" s="137"/>
    </row>
    <row r="36" spans="1:3" ht="12.75">
      <c r="A36" s="172"/>
      <c r="B36" s="172"/>
      <c r="C36" s="172"/>
    </row>
    <row r="37" spans="1:3" ht="12.75">
      <c r="A37" s="137"/>
      <c r="B37" s="172"/>
      <c r="C37" s="137"/>
    </row>
  </sheetData>
  <sheetProtection/>
  <mergeCells count="1">
    <mergeCell ref="A1:I1"/>
  </mergeCells>
  <printOptions horizontalCentered="1"/>
  <pageMargins left="0.3937007874015748" right="0.3937007874015748" top="0.35433070866141736" bottom="0.31496062992125984" header="0.2755905511811024" footer="0.2362204724409449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3">
      <selection activeCell="F57" sqref="F57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8.25390625" style="0" customWidth="1"/>
    <col min="5" max="5" width="9.875" style="0" customWidth="1"/>
    <col min="6" max="6" width="9.75390625" style="0" customWidth="1"/>
    <col min="7" max="7" width="9.875" style="0" customWidth="1"/>
    <col min="8" max="8" width="9.75390625" style="0" customWidth="1"/>
    <col min="9" max="9" width="10.375" style="0" customWidth="1"/>
  </cols>
  <sheetData>
    <row r="1" ht="12.75">
      <c r="A1" s="274"/>
    </row>
    <row r="2" spans="1:9" ht="21.75" customHeight="1">
      <c r="A2" s="1247" t="s">
        <v>558</v>
      </c>
      <c r="B2" s="1247"/>
      <c r="C2" s="1247"/>
      <c r="D2" s="1247"/>
      <c r="E2" s="1247"/>
      <c r="F2" s="1247"/>
      <c r="G2" s="1247"/>
      <c r="H2" s="1247"/>
      <c r="I2" s="1247"/>
    </row>
    <row r="3" spans="1:9" ht="22.5" customHeight="1">
      <c r="A3" s="1247" t="s">
        <v>1116</v>
      </c>
      <c r="B3" s="1247"/>
      <c r="C3" s="1247"/>
      <c r="D3" s="1247"/>
      <c r="E3" s="1247"/>
      <c r="F3" s="1247"/>
      <c r="G3" s="1247"/>
      <c r="H3" s="1247"/>
      <c r="I3" s="1247"/>
    </row>
    <row r="4" spans="1:9" ht="18.75" thickBot="1">
      <c r="A4" s="277"/>
      <c r="B4" s="277"/>
      <c r="C4" s="277"/>
      <c r="D4" s="277"/>
      <c r="E4" s="278"/>
      <c r="F4" s="277"/>
      <c r="G4" s="277"/>
      <c r="H4" s="277"/>
      <c r="I4" s="279"/>
    </row>
    <row r="5" spans="1:9" ht="18" customHeight="1">
      <c r="A5" s="1231" t="s">
        <v>559</v>
      </c>
      <c r="B5" s="1233" t="s">
        <v>251</v>
      </c>
      <c r="C5" s="1235" t="s">
        <v>560</v>
      </c>
      <c r="D5" s="1235" t="s">
        <v>1118</v>
      </c>
      <c r="E5" s="1235" t="s">
        <v>1117</v>
      </c>
      <c r="F5" s="1237" t="s">
        <v>561</v>
      </c>
      <c r="G5" s="1238"/>
      <c r="H5" s="1238"/>
      <c r="I5" s="1239"/>
    </row>
    <row r="6" spans="1:9" ht="21.75" customHeight="1" thickBot="1">
      <c r="A6" s="1232"/>
      <c r="B6" s="1248"/>
      <c r="C6" s="1249"/>
      <c r="D6" s="1249"/>
      <c r="E6" s="1249"/>
      <c r="F6" s="772" t="s">
        <v>562</v>
      </c>
      <c r="G6" s="772" t="s">
        <v>563</v>
      </c>
      <c r="H6" s="772" t="s">
        <v>564</v>
      </c>
      <c r="I6" s="298" t="s">
        <v>565</v>
      </c>
    </row>
    <row r="7" spans="1:10" ht="56.25" customHeight="1">
      <c r="A7" s="281">
        <v>1</v>
      </c>
      <c r="B7" s="282" t="s">
        <v>566</v>
      </c>
      <c r="C7" s="283" t="s">
        <v>250</v>
      </c>
      <c r="D7" s="899">
        <v>56844643</v>
      </c>
      <c r="E7" s="899">
        <f>'Свод затрат  с ТЭР'!Q64</f>
        <v>59895693.06999999</v>
      </c>
      <c r="F7" s="899">
        <f>'Свод затрат  с ТЭР'!Q65</f>
        <v>14976635.256</v>
      </c>
      <c r="G7" s="899">
        <f>'Свод затрат  с ТЭР'!Q66</f>
        <v>14749976.210999997</v>
      </c>
      <c r="H7" s="899">
        <f>'Свод затрат  с ТЭР'!Q67</f>
        <v>14342393.117999997</v>
      </c>
      <c r="I7" s="518">
        <f>'Свод затрат  с ТЭР'!Q68</f>
        <v>15826688.485</v>
      </c>
      <c r="J7" s="421">
        <f>E7-F7-G7-H7-I7</f>
        <v>0</v>
      </c>
    </row>
    <row r="8" spans="1:10" ht="30.75" customHeight="1">
      <c r="A8" s="284"/>
      <c r="B8" s="285" t="s">
        <v>567</v>
      </c>
      <c r="C8" s="1106" t="s">
        <v>250</v>
      </c>
      <c r="D8" s="1106">
        <v>54601272</v>
      </c>
      <c r="E8" s="1104">
        <f>E7</f>
        <v>59895693.06999999</v>
      </c>
      <c r="F8" s="1104">
        <f>F7</f>
        <v>14976635.256</v>
      </c>
      <c r="G8" s="1104">
        <f>G7</f>
        <v>14749976.210999997</v>
      </c>
      <c r="H8" s="1104">
        <f>H7</f>
        <v>14342393.117999997</v>
      </c>
      <c r="I8" s="1105">
        <f>I7</f>
        <v>15826688.485</v>
      </c>
      <c r="J8" s="421">
        <f aca="true" t="shared" si="0" ref="J8:J20">E8-F8-G8-H8-I8</f>
        <v>0</v>
      </c>
    </row>
    <row r="9" spans="1:10" ht="57" customHeight="1">
      <c r="A9" s="284">
        <v>2</v>
      </c>
      <c r="B9" s="285" t="s">
        <v>568</v>
      </c>
      <c r="C9" s="1106" t="s">
        <v>250</v>
      </c>
      <c r="D9" s="1106"/>
      <c r="E9" s="286"/>
      <c r="F9" s="1104"/>
      <c r="G9" s="1104"/>
      <c r="H9" s="1104"/>
      <c r="I9" s="1105"/>
      <c r="J9" s="421">
        <f t="shared" si="0"/>
        <v>0</v>
      </c>
    </row>
    <row r="10" spans="1:10" ht="57" customHeight="1">
      <c r="A10" s="284"/>
      <c r="B10" s="285" t="s">
        <v>569</v>
      </c>
      <c r="C10" s="1106" t="s">
        <v>250</v>
      </c>
      <c r="D10" s="1106">
        <v>1408010</v>
      </c>
      <c r="E10" s="1104">
        <v>1480000</v>
      </c>
      <c r="F10" s="1104">
        <v>373000</v>
      </c>
      <c r="G10" s="1104">
        <v>366000</v>
      </c>
      <c r="H10" s="1104">
        <v>355000</v>
      </c>
      <c r="I10" s="1105">
        <v>386000</v>
      </c>
      <c r="J10" s="421">
        <f t="shared" si="0"/>
        <v>0</v>
      </c>
    </row>
    <row r="11" spans="1:10" ht="48" customHeight="1">
      <c r="A11" s="284">
        <v>3</v>
      </c>
      <c r="B11" s="285" t="s">
        <v>570</v>
      </c>
      <c r="C11" s="1106"/>
      <c r="D11" s="1106"/>
      <c r="E11" s="1104"/>
      <c r="F11" s="1104"/>
      <c r="G11" s="1104"/>
      <c r="H11" s="1104"/>
      <c r="I11" s="1105"/>
      <c r="J11" s="421">
        <f t="shared" si="0"/>
        <v>0</v>
      </c>
    </row>
    <row r="12" spans="1:10" ht="16.5" customHeight="1">
      <c r="A12" s="284"/>
      <c r="B12" s="285" t="s">
        <v>571</v>
      </c>
      <c r="C12" s="1106" t="s">
        <v>572</v>
      </c>
      <c r="D12" s="286">
        <v>1200.3</v>
      </c>
      <c r="E12" s="286">
        <v>1270</v>
      </c>
      <c r="F12" s="286">
        <v>320</v>
      </c>
      <c r="G12" s="286">
        <v>315</v>
      </c>
      <c r="H12" s="286">
        <v>305</v>
      </c>
      <c r="I12" s="287">
        <v>330</v>
      </c>
      <c r="J12" s="421">
        <f t="shared" si="0"/>
        <v>0</v>
      </c>
    </row>
    <row r="13" spans="1:10" ht="18" customHeight="1">
      <c r="A13" s="284"/>
      <c r="B13" s="285" t="s">
        <v>442</v>
      </c>
      <c r="C13" s="1106" t="s">
        <v>572</v>
      </c>
      <c r="D13" s="286">
        <v>46.3</v>
      </c>
      <c r="E13" s="286">
        <v>50</v>
      </c>
      <c r="F13" s="288">
        <v>10.2</v>
      </c>
      <c r="G13" s="288">
        <v>10.2</v>
      </c>
      <c r="H13" s="288">
        <v>11.1</v>
      </c>
      <c r="I13" s="900">
        <v>18.5</v>
      </c>
      <c r="J13" s="421">
        <f t="shared" si="0"/>
        <v>0</v>
      </c>
    </row>
    <row r="14" spans="1:10" ht="16.5" customHeight="1">
      <c r="A14" s="284"/>
      <c r="B14" s="285" t="s">
        <v>443</v>
      </c>
      <c r="C14" s="1106" t="s">
        <v>573</v>
      </c>
      <c r="D14" s="286">
        <v>5.6</v>
      </c>
      <c r="E14" s="286">
        <f>F14+G14+H14+I14</f>
        <v>6</v>
      </c>
      <c r="F14" s="1106">
        <v>1.5</v>
      </c>
      <c r="G14" s="1106">
        <v>1.5</v>
      </c>
      <c r="H14" s="1106">
        <v>1.5</v>
      </c>
      <c r="I14" s="289">
        <v>1.5</v>
      </c>
      <c r="J14" s="421">
        <f t="shared" si="0"/>
        <v>0</v>
      </c>
    </row>
    <row r="15" spans="1:10" ht="18" customHeight="1">
      <c r="A15" s="284"/>
      <c r="B15" s="285" t="s">
        <v>446</v>
      </c>
      <c r="C15" s="1106" t="s">
        <v>577</v>
      </c>
      <c r="D15" s="288">
        <v>0.6</v>
      </c>
      <c r="E15" s="901">
        <v>0.7</v>
      </c>
      <c r="F15" s="288">
        <v>0.14</v>
      </c>
      <c r="G15" s="288">
        <v>0.16</v>
      </c>
      <c r="H15" s="288">
        <v>0.2</v>
      </c>
      <c r="I15" s="900">
        <v>0.2</v>
      </c>
      <c r="J15" s="421">
        <f t="shared" si="0"/>
        <v>0</v>
      </c>
    </row>
    <row r="16" spans="1:10" ht="18.75" customHeight="1">
      <c r="A16" s="284"/>
      <c r="B16" s="285" t="s">
        <v>444</v>
      </c>
      <c r="C16" s="1106" t="s">
        <v>577</v>
      </c>
      <c r="D16" s="1106">
        <v>140.8</v>
      </c>
      <c r="E16" s="288">
        <v>148</v>
      </c>
      <c r="F16" s="288">
        <v>37.3</v>
      </c>
      <c r="G16" s="288">
        <v>36.6</v>
      </c>
      <c r="H16" s="288">
        <v>35.5</v>
      </c>
      <c r="I16" s="900">
        <v>38.6</v>
      </c>
      <c r="J16" s="421">
        <f t="shared" si="0"/>
        <v>0</v>
      </c>
    </row>
    <row r="17" spans="1:10" ht="18.75" customHeight="1">
      <c r="A17" s="284"/>
      <c r="B17" s="285" t="s">
        <v>574</v>
      </c>
      <c r="C17" s="1106"/>
      <c r="D17" s="1106"/>
      <c r="E17" s="286"/>
      <c r="F17" s="1106"/>
      <c r="G17" s="1106"/>
      <c r="H17" s="1106"/>
      <c r="I17" s="289"/>
      <c r="J17" s="421">
        <f t="shared" si="0"/>
        <v>0</v>
      </c>
    </row>
    <row r="18" spans="1:10" ht="15.75" customHeight="1">
      <c r="A18" s="284"/>
      <c r="B18" s="285" t="s">
        <v>575</v>
      </c>
      <c r="C18" s="1106" t="s">
        <v>100</v>
      </c>
      <c r="D18" s="1106">
        <v>39902</v>
      </c>
      <c r="E18" s="286">
        <f>E12*33.08</f>
        <v>42011.6</v>
      </c>
      <c r="F18" s="286">
        <f>F12*33.08</f>
        <v>10585.599999999999</v>
      </c>
      <c r="G18" s="286">
        <f>G12*33.08</f>
        <v>10420.199999999999</v>
      </c>
      <c r="H18" s="286">
        <f>H12*33.08</f>
        <v>10089.4</v>
      </c>
      <c r="I18" s="287">
        <f>I12*33.08</f>
        <v>10916.4</v>
      </c>
      <c r="J18" s="421">
        <f t="shared" si="0"/>
        <v>0</v>
      </c>
    </row>
    <row r="19" spans="1:10" ht="15.75" customHeight="1">
      <c r="A19" s="284"/>
      <c r="B19" s="285" t="s">
        <v>576</v>
      </c>
      <c r="C19" s="1106" t="s">
        <v>572</v>
      </c>
      <c r="D19" s="286">
        <v>53.7</v>
      </c>
      <c r="E19" s="286">
        <f>F19+G19+H19+I19</f>
        <v>58</v>
      </c>
      <c r="F19" s="286">
        <f>F13*1.16</f>
        <v>11.831999999999999</v>
      </c>
      <c r="G19" s="286">
        <f>G13*1.16</f>
        <v>11.831999999999999</v>
      </c>
      <c r="H19" s="286">
        <f>H13*1.16</f>
        <v>12.876</v>
      </c>
      <c r="I19" s="287">
        <f>I13*1.16</f>
        <v>21.459999999999997</v>
      </c>
      <c r="J19" s="421">
        <f t="shared" si="0"/>
        <v>0</v>
      </c>
    </row>
    <row r="20" spans="1:10" ht="15.75" customHeight="1">
      <c r="A20" s="284"/>
      <c r="B20" s="285" t="s">
        <v>446</v>
      </c>
      <c r="C20" s="1106" t="s">
        <v>577</v>
      </c>
      <c r="D20" s="1106">
        <v>0.6</v>
      </c>
      <c r="E20" s="901">
        <v>0.7</v>
      </c>
      <c r="F20" s="288">
        <v>0.14</v>
      </c>
      <c r="G20" s="288">
        <v>0.16</v>
      </c>
      <c r="H20" s="288">
        <v>0.2</v>
      </c>
      <c r="I20" s="900">
        <v>0.2</v>
      </c>
      <c r="J20" s="421">
        <f t="shared" si="0"/>
        <v>0</v>
      </c>
    </row>
    <row r="21" spans="1:9" ht="31.5" customHeight="1">
      <c r="A21" s="284"/>
      <c r="B21" s="285" t="s">
        <v>578</v>
      </c>
      <c r="C21" s="1106"/>
      <c r="D21" s="1106"/>
      <c r="E21" s="288"/>
      <c r="F21" s="1106"/>
      <c r="G21" s="1106"/>
      <c r="H21" s="1106"/>
      <c r="I21" s="289"/>
    </row>
    <row r="22" spans="1:9" ht="19.5" customHeight="1">
      <c r="A22" s="284"/>
      <c r="B22" s="730" t="s">
        <v>571</v>
      </c>
      <c r="C22" s="1106" t="s">
        <v>572</v>
      </c>
      <c r="D22" s="1106">
        <v>1810</v>
      </c>
      <c r="E22" s="1104">
        <v>1810</v>
      </c>
      <c r="F22" s="1106">
        <v>459</v>
      </c>
      <c r="G22" s="1106">
        <v>464</v>
      </c>
      <c r="H22" s="1106">
        <v>418</v>
      </c>
      <c r="I22" s="289">
        <v>469</v>
      </c>
    </row>
    <row r="23" spans="1:9" ht="20.25" customHeight="1">
      <c r="A23" s="284"/>
      <c r="B23" s="730" t="s">
        <v>571</v>
      </c>
      <c r="C23" s="1106" t="s">
        <v>579</v>
      </c>
      <c r="D23" s="286">
        <f aca="true" t="shared" si="1" ref="D23:I23">D12/D22*100</f>
        <v>66.31491712707181</v>
      </c>
      <c r="E23" s="286">
        <f t="shared" si="1"/>
        <v>70.1657458563536</v>
      </c>
      <c r="F23" s="286">
        <f t="shared" si="1"/>
        <v>69.71677559912854</v>
      </c>
      <c r="G23" s="286">
        <f t="shared" si="1"/>
        <v>67.88793103448276</v>
      </c>
      <c r="H23" s="286">
        <f t="shared" si="1"/>
        <v>72.96650717703349</v>
      </c>
      <c r="I23" s="287">
        <f t="shared" si="1"/>
        <v>70.36247334754798</v>
      </c>
    </row>
    <row r="24" spans="1:9" ht="40.5" customHeight="1">
      <c r="A24" s="284"/>
      <c r="B24" s="285" t="s">
        <v>580</v>
      </c>
      <c r="C24" s="290" t="s">
        <v>581</v>
      </c>
      <c r="D24" s="290"/>
      <c r="E24" s="286" t="s">
        <v>348</v>
      </c>
      <c r="F24" s="1106" t="s">
        <v>348</v>
      </c>
      <c r="G24" s="1106"/>
      <c r="H24" s="1106" t="s">
        <v>348</v>
      </c>
      <c r="I24" s="287" t="s">
        <v>348</v>
      </c>
    </row>
    <row r="25" spans="1:9" ht="17.25" customHeight="1">
      <c r="A25" s="284"/>
      <c r="B25" s="285" t="s">
        <v>571</v>
      </c>
      <c r="C25" s="291" t="s">
        <v>572</v>
      </c>
      <c r="D25" s="291"/>
      <c r="E25" s="286" t="s">
        <v>348</v>
      </c>
      <c r="F25" s="1106" t="s">
        <v>348</v>
      </c>
      <c r="G25" s="1106" t="s">
        <v>348</v>
      </c>
      <c r="H25" s="1106" t="s">
        <v>348</v>
      </c>
      <c r="I25" s="289" t="s">
        <v>348</v>
      </c>
    </row>
    <row r="26" spans="1:9" ht="56.25" customHeight="1">
      <c r="A26" s="284"/>
      <c r="B26" s="285" t="s">
        <v>582</v>
      </c>
      <c r="C26" s="290" t="s">
        <v>581</v>
      </c>
      <c r="D26" s="290"/>
      <c r="E26" s="286" t="s">
        <v>348</v>
      </c>
      <c r="F26" s="1106" t="s">
        <v>348</v>
      </c>
      <c r="G26" s="1106" t="s">
        <v>348</v>
      </c>
      <c r="H26" s="1106" t="s">
        <v>348</v>
      </c>
      <c r="I26" s="289" t="s">
        <v>348</v>
      </c>
    </row>
    <row r="27" spans="1:9" ht="12.75">
      <c r="A27" s="284"/>
      <c r="B27" s="285"/>
      <c r="C27" s="291"/>
      <c r="D27" s="291"/>
      <c r="E27" s="286" t="s">
        <v>348</v>
      </c>
      <c r="F27" s="1106" t="s">
        <v>348</v>
      </c>
      <c r="G27" s="1106" t="s">
        <v>348</v>
      </c>
      <c r="H27" s="1106" t="s">
        <v>348</v>
      </c>
      <c r="I27" s="289" t="s">
        <v>348</v>
      </c>
    </row>
    <row r="28" spans="1:9" ht="24.75" customHeight="1">
      <c r="A28" s="284"/>
      <c r="B28" s="285" t="s">
        <v>583</v>
      </c>
      <c r="C28" s="290" t="s">
        <v>581</v>
      </c>
      <c r="D28" s="290"/>
      <c r="E28" s="286" t="s">
        <v>348</v>
      </c>
      <c r="F28" s="1106" t="s">
        <v>348</v>
      </c>
      <c r="G28" s="1106" t="s">
        <v>348</v>
      </c>
      <c r="H28" s="1106" t="s">
        <v>348</v>
      </c>
      <c r="I28" s="289" t="s">
        <v>348</v>
      </c>
    </row>
    <row r="29" spans="1:9" ht="12.75">
      <c r="A29" s="284"/>
      <c r="B29" s="285"/>
      <c r="C29" s="291"/>
      <c r="D29" s="291"/>
      <c r="E29" s="286"/>
      <c r="F29" s="1106"/>
      <c r="G29" s="1106"/>
      <c r="H29" s="1106"/>
      <c r="I29" s="289"/>
    </row>
    <row r="30" spans="1:9" ht="22.5" customHeight="1">
      <c r="A30" s="284"/>
      <c r="B30" s="285" t="s">
        <v>584</v>
      </c>
      <c r="C30" s="1106" t="s">
        <v>250</v>
      </c>
      <c r="D30" s="1106">
        <v>961038</v>
      </c>
      <c r="E30" s="1104">
        <v>3268865</v>
      </c>
      <c r="F30" s="1106">
        <v>75500</v>
      </c>
      <c r="G30" s="1106">
        <v>349390</v>
      </c>
      <c r="H30" s="1106">
        <v>433975</v>
      </c>
      <c r="I30" s="289">
        <v>2410000</v>
      </c>
    </row>
    <row r="31" spans="1:9" ht="28.5" customHeight="1">
      <c r="A31" s="284"/>
      <c r="B31" s="285" t="s">
        <v>585</v>
      </c>
      <c r="C31" s="1106" t="s">
        <v>250</v>
      </c>
      <c r="D31" s="1106">
        <v>961038</v>
      </c>
      <c r="E31" s="1104">
        <f>E30</f>
        <v>3268865</v>
      </c>
      <c r="F31" s="1104">
        <f>F30</f>
        <v>75500</v>
      </c>
      <c r="G31" s="1104">
        <f>G30</f>
        <v>349390</v>
      </c>
      <c r="H31" s="1104">
        <f>H30</f>
        <v>433975</v>
      </c>
      <c r="I31" s="1105">
        <f>I30</f>
        <v>2410000</v>
      </c>
    </row>
    <row r="32" spans="1:9" ht="27" customHeight="1" thickBot="1">
      <c r="A32" s="292"/>
      <c r="B32" s="285" t="s">
        <v>586</v>
      </c>
      <c r="C32" s="1106" t="s">
        <v>250</v>
      </c>
      <c r="D32" s="1106" t="s">
        <v>348</v>
      </c>
      <c r="E32" s="286" t="s">
        <v>348</v>
      </c>
      <c r="F32" s="1106" t="s">
        <v>348</v>
      </c>
      <c r="G32" s="1106" t="s">
        <v>348</v>
      </c>
      <c r="H32" s="1106" t="s">
        <v>348</v>
      </c>
      <c r="I32" s="289" t="s">
        <v>348</v>
      </c>
    </row>
    <row r="33" spans="1:9" ht="13.5" thickBot="1">
      <c r="A33" s="857"/>
      <c r="B33" s="285"/>
      <c r="C33" s="291"/>
      <c r="D33" s="291"/>
      <c r="E33" s="286"/>
      <c r="F33" s="1106"/>
      <c r="G33" s="1106"/>
      <c r="H33" s="1106"/>
      <c r="I33" s="289"/>
    </row>
    <row r="34" spans="1:9" ht="12.75" customHeight="1">
      <c r="A34" s="1231" t="s">
        <v>559</v>
      </c>
      <c r="B34" s="1244" t="s">
        <v>251</v>
      </c>
      <c r="C34" s="1245" t="s">
        <v>560</v>
      </c>
      <c r="D34" s="1245" t="s">
        <v>1118</v>
      </c>
      <c r="E34" s="1245" t="s">
        <v>1117</v>
      </c>
      <c r="F34" s="1245" t="s">
        <v>561</v>
      </c>
      <c r="G34" s="1245"/>
      <c r="H34" s="1245"/>
      <c r="I34" s="1246"/>
    </row>
    <row r="35" spans="1:9" ht="29.25" customHeight="1" thickBot="1">
      <c r="A35" s="1232"/>
      <c r="B35" s="1244"/>
      <c r="C35" s="1245"/>
      <c r="D35" s="1245"/>
      <c r="E35" s="1245"/>
      <c r="F35" s="1107" t="s">
        <v>562</v>
      </c>
      <c r="G35" s="1107" t="s">
        <v>563</v>
      </c>
      <c r="H35" s="1107" t="s">
        <v>564</v>
      </c>
      <c r="I35" s="1108" t="s">
        <v>565</v>
      </c>
    </row>
    <row r="36" spans="1:9" ht="30.75" customHeight="1">
      <c r="A36" s="299"/>
      <c r="B36" s="285" t="s">
        <v>587</v>
      </c>
      <c r="C36" s="1106"/>
      <c r="D36" s="1106" t="s">
        <v>348</v>
      </c>
      <c r="E36" s="1106" t="s">
        <v>348</v>
      </c>
      <c r="F36" s="1106" t="s">
        <v>348</v>
      </c>
      <c r="G36" s="1106" t="s">
        <v>348</v>
      </c>
      <c r="H36" s="1106" t="s">
        <v>348</v>
      </c>
      <c r="I36" s="289" t="s">
        <v>348</v>
      </c>
    </row>
    <row r="37" spans="1:9" ht="18" customHeight="1">
      <c r="A37" s="284"/>
      <c r="B37" s="285" t="s">
        <v>588</v>
      </c>
      <c r="C37" s="1106" t="s">
        <v>589</v>
      </c>
      <c r="D37" s="1106">
        <v>388</v>
      </c>
      <c r="E37" s="1106">
        <v>390</v>
      </c>
      <c r="F37" s="1106">
        <v>390</v>
      </c>
      <c r="G37" s="1106">
        <v>390</v>
      </c>
      <c r="H37" s="1106">
        <v>390</v>
      </c>
      <c r="I37" s="289">
        <v>390</v>
      </c>
    </row>
    <row r="38" spans="1:9" ht="15.75" customHeight="1">
      <c r="A38" s="284"/>
      <c r="B38" s="285" t="s">
        <v>590</v>
      </c>
      <c r="C38" s="1106" t="s">
        <v>589</v>
      </c>
      <c r="D38" s="1106">
        <v>380</v>
      </c>
      <c r="E38" s="1106">
        <v>380</v>
      </c>
      <c r="F38" s="1106">
        <v>380</v>
      </c>
      <c r="G38" s="1106">
        <v>380</v>
      </c>
      <c r="H38" s="1106">
        <v>380</v>
      </c>
      <c r="I38" s="289">
        <v>380</v>
      </c>
    </row>
    <row r="39" spans="1:9" ht="14.25" customHeight="1">
      <c r="A39" s="284"/>
      <c r="B39" s="285" t="s">
        <v>591</v>
      </c>
      <c r="C39" s="1106" t="s">
        <v>589</v>
      </c>
      <c r="D39" s="1106">
        <v>302</v>
      </c>
      <c r="E39" s="1106">
        <v>302</v>
      </c>
      <c r="F39" s="1106">
        <v>302</v>
      </c>
      <c r="G39" s="1106">
        <v>302</v>
      </c>
      <c r="H39" s="1106">
        <v>302</v>
      </c>
      <c r="I39" s="289">
        <v>302</v>
      </c>
    </row>
    <row r="40" spans="1:9" ht="14.25" customHeight="1">
      <c r="A40" s="284"/>
      <c r="B40" s="285" t="s">
        <v>592</v>
      </c>
      <c r="C40" s="1106" t="s">
        <v>589</v>
      </c>
      <c r="D40" s="1106">
        <v>78</v>
      </c>
      <c r="E40" s="1106">
        <v>78</v>
      </c>
      <c r="F40" s="1106">
        <v>78</v>
      </c>
      <c r="G40" s="1106">
        <v>78</v>
      </c>
      <c r="H40" s="1106">
        <v>78</v>
      </c>
      <c r="I40" s="289">
        <v>78</v>
      </c>
    </row>
    <row r="41" spans="1:9" ht="14.25" customHeight="1">
      <c r="A41" s="284"/>
      <c r="B41" s="285" t="s">
        <v>593</v>
      </c>
      <c r="C41" s="1106" t="s">
        <v>589</v>
      </c>
      <c r="D41" s="1106">
        <v>8</v>
      </c>
      <c r="E41" s="1106">
        <v>10</v>
      </c>
      <c r="F41" s="1106">
        <v>10</v>
      </c>
      <c r="G41" s="1106">
        <v>10</v>
      </c>
      <c r="H41" s="1106">
        <v>10</v>
      </c>
      <c r="I41" s="289">
        <v>10</v>
      </c>
    </row>
    <row r="42" spans="1:9" ht="39.75" customHeight="1">
      <c r="A42" s="284"/>
      <c r="B42" s="285" t="s">
        <v>594</v>
      </c>
      <c r="C42" s="1106" t="s">
        <v>589</v>
      </c>
      <c r="D42" s="1106">
        <v>31</v>
      </c>
      <c r="E42" s="1106">
        <v>31</v>
      </c>
      <c r="F42" s="1106">
        <v>31</v>
      </c>
      <c r="G42" s="1106">
        <v>31</v>
      </c>
      <c r="H42" s="1106">
        <v>31</v>
      </c>
      <c r="I42" s="289">
        <v>31</v>
      </c>
    </row>
    <row r="43" spans="1:9" ht="39" customHeight="1">
      <c r="A43" s="284"/>
      <c r="B43" s="285" t="s">
        <v>595</v>
      </c>
      <c r="C43" s="1106" t="s">
        <v>250</v>
      </c>
      <c r="D43" s="1104">
        <v>10370000</v>
      </c>
      <c r="E43" s="1104">
        <v>11807904</v>
      </c>
      <c r="F43" s="1104">
        <v>2951976</v>
      </c>
      <c r="G43" s="1104">
        <v>2951976</v>
      </c>
      <c r="H43" s="1104">
        <v>2951976</v>
      </c>
      <c r="I43" s="1105">
        <v>2951976</v>
      </c>
    </row>
    <row r="44" spans="1:9" ht="25.5" customHeight="1">
      <c r="A44" s="284"/>
      <c r="B44" s="285" t="s">
        <v>596</v>
      </c>
      <c r="C44" s="1106" t="s">
        <v>250</v>
      </c>
      <c r="D44" s="1104">
        <v>10168000</v>
      </c>
      <c r="E44" s="1104">
        <v>11577333.2</v>
      </c>
      <c r="F44" s="1104">
        <v>2894333.3</v>
      </c>
      <c r="G44" s="1104">
        <v>2894333.3</v>
      </c>
      <c r="H44" s="1104">
        <v>2894333.3</v>
      </c>
      <c r="I44" s="1105">
        <v>2894333.3</v>
      </c>
    </row>
    <row r="45" spans="1:9" ht="15.75" customHeight="1">
      <c r="A45" s="284"/>
      <c r="B45" s="285" t="s">
        <v>597</v>
      </c>
      <c r="C45" s="1106" t="s">
        <v>250</v>
      </c>
      <c r="D45" s="1104">
        <f aca="true" t="shared" si="2" ref="D45:I45">D8/D37</f>
        <v>140724.92783505155</v>
      </c>
      <c r="E45" s="1104">
        <f t="shared" si="2"/>
        <v>153578.70017948715</v>
      </c>
      <c r="F45" s="1104">
        <f t="shared" si="2"/>
        <v>38401.62886153846</v>
      </c>
      <c r="G45" s="1104">
        <f t="shared" si="2"/>
        <v>37820.45182307692</v>
      </c>
      <c r="H45" s="1104">
        <f t="shared" si="2"/>
        <v>36775.36696923076</v>
      </c>
      <c r="I45" s="1105">
        <f t="shared" si="2"/>
        <v>40581.25252564102</v>
      </c>
    </row>
    <row r="46" spans="1:9" ht="26.25" customHeight="1">
      <c r="A46" s="284"/>
      <c r="B46" s="285" t="s">
        <v>598</v>
      </c>
      <c r="C46" s="1106" t="s">
        <v>250</v>
      </c>
      <c r="D46" s="286">
        <v>2183.8</v>
      </c>
      <c r="E46" s="286">
        <v>2473.8</v>
      </c>
      <c r="F46" s="286">
        <v>2473.8</v>
      </c>
      <c r="G46" s="286">
        <v>2473.8</v>
      </c>
      <c r="H46" s="286">
        <v>2473.8</v>
      </c>
      <c r="I46" s="287">
        <v>2473.8</v>
      </c>
    </row>
    <row r="47" spans="1:10" ht="25.5" customHeight="1">
      <c r="A47" s="284"/>
      <c r="B47" s="300" t="s">
        <v>599</v>
      </c>
      <c r="C47" s="301" t="s">
        <v>250</v>
      </c>
      <c r="D47" s="302">
        <v>72491912</v>
      </c>
      <c r="E47" s="302">
        <f>'Свод затрат  с ТЭР'!T64</f>
        <v>79525311.00999999</v>
      </c>
      <c r="F47" s="302">
        <f>'Свод затрат  с ТЭР'!T65</f>
        <v>19899642.43</v>
      </c>
      <c r="G47" s="302">
        <f>'Свод затрат  с ТЭР'!T66</f>
        <v>19597531.574999996</v>
      </c>
      <c r="H47" s="302">
        <f>'Свод затрат  с ТЭР'!T67</f>
        <v>19048191.865</v>
      </c>
      <c r="I47" s="303">
        <f>'Свод затрат  с ТЭР'!T68-1</f>
        <v>20979945.14</v>
      </c>
      <c r="J47" s="421">
        <f>E47-F47-G47-H47-I47</f>
        <v>0</v>
      </c>
    </row>
    <row r="48" spans="1:10" ht="14.25" customHeight="1">
      <c r="A48" s="284"/>
      <c r="B48" s="285" t="s">
        <v>553</v>
      </c>
      <c r="C48" s="1106" t="s">
        <v>250</v>
      </c>
      <c r="D48" s="302">
        <v>6017057</v>
      </c>
      <c r="E48" s="302">
        <f>'Свод затрат  с ТЭР'!R64</f>
        <v>6375400</v>
      </c>
      <c r="F48" s="1104">
        <f>'Свод затрат  с ТЭР'!R65</f>
        <v>1606400</v>
      </c>
      <c r="G48" s="1104">
        <f>'Свод затрат  с ТЭР'!R66</f>
        <v>1581300</v>
      </c>
      <c r="H48" s="1104">
        <f>'Свод затрат  с ТЭР'!R67</f>
        <v>1531100</v>
      </c>
      <c r="I48" s="1105">
        <f>'Свод затрат  с ТЭР'!R68</f>
        <v>1656600</v>
      </c>
      <c r="J48" s="421">
        <f aca="true" t="shared" si="3" ref="J48:J73">E48-F48-G48-H48-I48</f>
        <v>0</v>
      </c>
    </row>
    <row r="49" spans="1:10" ht="29.25" customHeight="1">
      <c r="A49" s="284"/>
      <c r="B49" s="285" t="s">
        <v>600</v>
      </c>
      <c r="C49" s="1106" t="s">
        <v>250</v>
      </c>
      <c r="D49" s="302">
        <v>12076095</v>
      </c>
      <c r="E49" s="302">
        <f>'Свод затрат  с ТЭР'!S64</f>
        <v>13254217.94</v>
      </c>
      <c r="F49" s="302">
        <f>'Свод затрат  с ТЭР'!S65</f>
        <v>3316607.1739999996</v>
      </c>
      <c r="G49" s="302">
        <f>'Свод затрат  с ТЭР'!S66</f>
        <v>3266255.364</v>
      </c>
      <c r="H49" s="302">
        <f>'Свод затрат  с ТЭР'!S67</f>
        <v>3174698.747</v>
      </c>
      <c r="I49" s="303">
        <f>'Свод затрат  с ТЭР'!S68-1</f>
        <v>3496656.6550000003</v>
      </c>
      <c r="J49" s="421">
        <f t="shared" si="3"/>
        <v>0</v>
      </c>
    </row>
    <row r="50" spans="1:10" ht="29.25" customHeight="1">
      <c r="A50" s="284"/>
      <c r="B50" s="300" t="s">
        <v>601</v>
      </c>
      <c r="C50" s="301" t="s">
        <v>250</v>
      </c>
      <c r="D50" s="302">
        <f aca="true" t="shared" si="4" ref="D50:I50">D47-D48-D49</f>
        <v>54398760</v>
      </c>
      <c r="E50" s="302">
        <f t="shared" si="4"/>
        <v>59895693.06999999</v>
      </c>
      <c r="F50" s="302">
        <f t="shared" si="4"/>
        <v>14976635.256000001</v>
      </c>
      <c r="G50" s="302">
        <f t="shared" si="4"/>
        <v>14749976.210999995</v>
      </c>
      <c r="H50" s="302">
        <f t="shared" si="4"/>
        <v>14342393.117999999</v>
      </c>
      <c r="I50" s="303">
        <f t="shared" si="4"/>
        <v>15826688.485</v>
      </c>
      <c r="J50" s="421">
        <f t="shared" si="3"/>
        <v>0</v>
      </c>
    </row>
    <row r="51" spans="1:10" ht="53.25" customHeight="1">
      <c r="A51" s="284"/>
      <c r="B51" s="300" t="s">
        <v>602</v>
      </c>
      <c r="C51" s="301" t="s">
        <v>250</v>
      </c>
      <c r="D51" s="301">
        <f>D50*0.749</f>
        <v>40744671.24</v>
      </c>
      <c r="E51" s="302">
        <f>'Свод затрат  с ТЭР'!M64-2910000</f>
        <v>45336655.98</v>
      </c>
      <c r="F51" s="302">
        <f>'Свод затрат  с ТЭР'!M65-953000</f>
        <v>11095642.277</v>
      </c>
      <c r="G51" s="302">
        <f>'Свод затрат  с ТЭР'!M66-902000</f>
        <v>10965965.049</v>
      </c>
      <c r="H51" s="302">
        <f>'Свод затрат  с ТЭР'!M67-1052000</f>
        <v>10497198.749999998</v>
      </c>
      <c r="I51" s="303">
        <f>'Свод затрат  с ТЭР'!M68+1-3000</f>
        <v>12777849.904</v>
      </c>
      <c r="J51" s="421">
        <f t="shared" si="3"/>
        <v>0</v>
      </c>
    </row>
    <row r="52" spans="1:10" ht="30.75" customHeight="1">
      <c r="A52" s="284"/>
      <c r="B52" s="300" t="s">
        <v>603</v>
      </c>
      <c r="C52" s="301" t="s">
        <v>250</v>
      </c>
      <c r="D52" s="302">
        <f aca="true" t="shared" si="5" ref="D52:I52">D50-D51</f>
        <v>13654088.759999998</v>
      </c>
      <c r="E52" s="302">
        <f>E50-E51</f>
        <v>14559037.089999996</v>
      </c>
      <c r="F52" s="302">
        <f>F50-F51</f>
        <v>3880992.9790000003</v>
      </c>
      <c r="G52" s="302">
        <f t="shared" si="5"/>
        <v>3784011.161999995</v>
      </c>
      <c r="H52" s="302">
        <f t="shared" si="5"/>
        <v>3845194.3680000007</v>
      </c>
      <c r="I52" s="303">
        <f t="shared" si="5"/>
        <v>3048838.5810000002</v>
      </c>
      <c r="J52" s="421">
        <f t="shared" si="3"/>
        <v>0</v>
      </c>
    </row>
    <row r="53" spans="1:10" ht="20.25" customHeight="1">
      <c r="A53" s="284"/>
      <c r="B53" s="300" t="s">
        <v>604</v>
      </c>
      <c r="C53" s="301" t="s">
        <v>250</v>
      </c>
      <c r="D53" s="302">
        <f aca="true" t="shared" si="6" ref="D53:I53">D54+D55+D56</f>
        <v>8561427</v>
      </c>
      <c r="E53" s="302">
        <f t="shared" si="6"/>
        <v>9289120</v>
      </c>
      <c r="F53" s="302">
        <f t="shared" si="6"/>
        <v>2292779</v>
      </c>
      <c r="G53" s="302">
        <f t="shared" si="6"/>
        <v>2326552</v>
      </c>
      <c r="H53" s="302">
        <f t="shared" si="6"/>
        <v>2250139</v>
      </c>
      <c r="I53" s="302">
        <f t="shared" si="6"/>
        <v>2419650</v>
      </c>
      <c r="J53" s="421">
        <f t="shared" si="3"/>
        <v>0</v>
      </c>
    </row>
    <row r="54" spans="1:10" ht="17.25" customHeight="1">
      <c r="A54" s="284"/>
      <c r="B54" s="285" t="s">
        <v>605</v>
      </c>
      <c r="C54" s="1106" t="s">
        <v>250</v>
      </c>
      <c r="D54" s="1106">
        <v>150582</v>
      </c>
      <c r="E54" s="304">
        <f>F54+G54+H54+I54</f>
        <v>148788</v>
      </c>
      <c r="F54" s="304">
        <v>37197</v>
      </c>
      <c r="G54" s="304">
        <v>37197</v>
      </c>
      <c r="H54" s="304">
        <v>37197</v>
      </c>
      <c r="I54" s="305">
        <v>37197</v>
      </c>
      <c r="J54" s="421">
        <f t="shared" si="3"/>
        <v>0</v>
      </c>
    </row>
    <row r="55" spans="1:10" ht="20.25" customHeight="1">
      <c r="A55" s="284"/>
      <c r="B55" s="285" t="s">
        <v>363</v>
      </c>
      <c r="C55" s="1106" t="s">
        <v>250</v>
      </c>
      <c r="D55" s="1106">
        <v>2622572</v>
      </c>
      <c r="E55" s="304">
        <v>2930448</v>
      </c>
      <c r="F55" s="304">
        <v>732612</v>
      </c>
      <c r="G55" s="304">
        <v>732612</v>
      </c>
      <c r="H55" s="304">
        <v>732612</v>
      </c>
      <c r="I55" s="305">
        <v>732612</v>
      </c>
      <c r="J55" s="421">
        <f t="shared" si="3"/>
        <v>0</v>
      </c>
    </row>
    <row r="56" spans="1:10" ht="16.5" customHeight="1">
      <c r="A56" s="284"/>
      <c r="B56" s="285" t="s">
        <v>606</v>
      </c>
      <c r="C56" s="1106" t="s">
        <v>250</v>
      </c>
      <c r="D56" s="1106">
        <v>5788273</v>
      </c>
      <c r="E56" s="304">
        <v>6209884</v>
      </c>
      <c r="F56" s="304">
        <v>1522970</v>
      </c>
      <c r="G56" s="304">
        <v>1556743</v>
      </c>
      <c r="H56" s="304">
        <v>1480330</v>
      </c>
      <c r="I56" s="305">
        <v>1649841</v>
      </c>
      <c r="J56" s="421">
        <f t="shared" si="3"/>
        <v>0</v>
      </c>
    </row>
    <row r="57" spans="1:10" ht="26.25" customHeight="1">
      <c r="A57" s="306"/>
      <c r="B57" s="285" t="s">
        <v>624</v>
      </c>
      <c r="C57" s="1106" t="s">
        <v>250</v>
      </c>
      <c r="D57" s="1106">
        <v>725155</v>
      </c>
      <c r="E57" s="1104">
        <v>440000</v>
      </c>
      <c r="F57" s="1104">
        <v>110000</v>
      </c>
      <c r="G57" s="1104">
        <v>110000</v>
      </c>
      <c r="H57" s="1104">
        <v>110000</v>
      </c>
      <c r="I57" s="1104">
        <v>110000</v>
      </c>
      <c r="J57" s="421">
        <f t="shared" si="3"/>
        <v>0</v>
      </c>
    </row>
    <row r="58" spans="1:10" ht="12.75">
      <c r="A58" s="1240"/>
      <c r="B58" s="1242" t="s">
        <v>607</v>
      </c>
      <c r="C58" s="1243" t="s">
        <v>250</v>
      </c>
      <c r="D58" s="1229">
        <f aca="true" t="shared" si="7" ref="D58:I58">D52-D54-D55-D56+D57</f>
        <v>5817816.759999998</v>
      </c>
      <c r="E58" s="1229">
        <f t="shared" si="7"/>
        <v>5709917.089999996</v>
      </c>
      <c r="F58" s="1229">
        <f t="shared" si="7"/>
        <v>1698213.9790000003</v>
      </c>
      <c r="G58" s="1229">
        <f t="shared" si="7"/>
        <v>1567459.161999995</v>
      </c>
      <c r="H58" s="1229">
        <f t="shared" si="7"/>
        <v>1705055.3680000007</v>
      </c>
      <c r="I58" s="1230">
        <f t="shared" si="7"/>
        <v>739188.5810000002</v>
      </c>
      <c r="J58" s="421">
        <f t="shared" si="3"/>
        <v>0</v>
      </c>
    </row>
    <row r="59" spans="1:10" ht="18" customHeight="1">
      <c r="A59" s="1241"/>
      <c r="B59" s="1242"/>
      <c r="C59" s="1243"/>
      <c r="D59" s="1229"/>
      <c r="E59" s="1229"/>
      <c r="F59" s="1229"/>
      <c r="G59" s="1229"/>
      <c r="H59" s="1229"/>
      <c r="I59" s="1230"/>
      <c r="J59" s="421">
        <f t="shared" si="3"/>
        <v>0</v>
      </c>
    </row>
    <row r="60" spans="1:10" ht="40.5" customHeight="1">
      <c r="A60" s="284"/>
      <c r="B60" s="285" t="s">
        <v>608</v>
      </c>
      <c r="C60" s="1106" t="s">
        <v>250</v>
      </c>
      <c r="D60" s="1106"/>
      <c r="E60" s="1106" t="s">
        <v>348</v>
      </c>
      <c r="F60" s="1106" t="s">
        <v>348</v>
      </c>
      <c r="G60" s="1106" t="s">
        <v>348</v>
      </c>
      <c r="H60" s="1106" t="s">
        <v>348</v>
      </c>
      <c r="I60" s="289" t="s">
        <v>348</v>
      </c>
      <c r="J60" s="421" t="e">
        <f t="shared" si="3"/>
        <v>#VALUE!</v>
      </c>
    </row>
    <row r="61" spans="1:10" ht="15" customHeight="1">
      <c r="A61" s="284"/>
      <c r="B61" s="285" t="s">
        <v>609</v>
      </c>
      <c r="C61" s="1106" t="s">
        <v>250</v>
      </c>
      <c r="D61" s="1106"/>
      <c r="E61" s="1106" t="s">
        <v>348</v>
      </c>
      <c r="F61" s="1106" t="s">
        <v>348</v>
      </c>
      <c r="G61" s="1106" t="s">
        <v>348</v>
      </c>
      <c r="H61" s="1106" t="s">
        <v>348</v>
      </c>
      <c r="I61" s="289" t="s">
        <v>348</v>
      </c>
      <c r="J61" s="421" t="e">
        <f t="shared" si="3"/>
        <v>#VALUE!</v>
      </c>
    </row>
    <row r="62" spans="1:10" ht="30.75" customHeight="1">
      <c r="A62" s="284"/>
      <c r="B62" s="285" t="s">
        <v>610</v>
      </c>
      <c r="C62" s="1106" t="s">
        <v>250</v>
      </c>
      <c r="D62" s="1106"/>
      <c r="E62" s="1106" t="s">
        <v>348</v>
      </c>
      <c r="F62" s="1106" t="s">
        <v>348</v>
      </c>
      <c r="G62" s="1106" t="s">
        <v>348</v>
      </c>
      <c r="H62" s="1106" t="s">
        <v>348</v>
      </c>
      <c r="I62" s="289" t="s">
        <v>348</v>
      </c>
      <c r="J62" s="421" t="e">
        <f t="shared" si="3"/>
        <v>#VALUE!</v>
      </c>
    </row>
    <row r="63" spans="1:10" ht="25.5" customHeight="1">
      <c r="A63" s="284"/>
      <c r="B63" s="285" t="s">
        <v>611</v>
      </c>
      <c r="C63" s="1106" t="s">
        <v>250</v>
      </c>
      <c r="D63" s="1106">
        <v>564112</v>
      </c>
      <c r="E63" s="304">
        <v>360763</v>
      </c>
      <c r="F63" s="1104">
        <v>107704</v>
      </c>
      <c r="G63" s="1104">
        <v>96335</v>
      </c>
      <c r="H63" s="1104">
        <v>84737</v>
      </c>
      <c r="I63" s="1105">
        <v>71987</v>
      </c>
      <c r="J63" s="421">
        <f t="shared" si="3"/>
        <v>0</v>
      </c>
    </row>
    <row r="64" spans="1:10" ht="35.25" customHeight="1">
      <c r="A64" s="284"/>
      <c r="B64" s="285" t="s">
        <v>612</v>
      </c>
      <c r="C64" s="1106" t="s">
        <v>250</v>
      </c>
      <c r="D64" s="1106"/>
      <c r="E64" s="1106"/>
      <c r="F64" s="1106"/>
      <c r="G64" s="1106"/>
      <c r="H64" s="1106"/>
      <c r="I64" s="289"/>
      <c r="J64" s="421">
        <f t="shared" si="3"/>
        <v>0</v>
      </c>
    </row>
    <row r="65" spans="1:10" ht="52.5" customHeight="1">
      <c r="A65" s="284"/>
      <c r="B65" s="285" t="s">
        <v>613</v>
      </c>
      <c r="C65" s="1106" t="s">
        <v>250</v>
      </c>
      <c r="D65" s="1104">
        <f>D58+D62-D63-D64</f>
        <v>5253704.759999998</v>
      </c>
      <c r="E65" s="1104">
        <f>E58-E63</f>
        <v>5349154.089999996</v>
      </c>
      <c r="F65" s="1104">
        <f>F58-F63</f>
        <v>1590509.9790000003</v>
      </c>
      <c r="G65" s="1104">
        <f>G58-G63</f>
        <v>1471124.161999995</v>
      </c>
      <c r="H65" s="1104">
        <f>H58-H63</f>
        <v>1620318.3680000007</v>
      </c>
      <c r="I65" s="1105">
        <f>I58-I63</f>
        <v>667201.5810000002</v>
      </c>
      <c r="J65" s="421">
        <f t="shared" si="3"/>
        <v>0</v>
      </c>
    </row>
    <row r="66" spans="1:10" ht="26.25" customHeight="1" thickBot="1">
      <c r="A66" s="292"/>
      <c r="B66" s="293" t="s">
        <v>614</v>
      </c>
      <c r="C66" s="294" t="s">
        <v>250</v>
      </c>
      <c r="D66" s="294"/>
      <c r="E66" s="308"/>
      <c r="F66" s="308"/>
      <c r="G66" s="308"/>
      <c r="H66" s="308"/>
      <c r="I66" s="309"/>
      <c r="J66" s="421">
        <f t="shared" si="3"/>
        <v>0</v>
      </c>
    </row>
    <row r="67" spans="1:10" ht="13.5" thickBot="1">
      <c r="A67" s="857"/>
      <c r="B67" s="767"/>
      <c r="C67" s="297"/>
      <c r="D67" s="297"/>
      <c r="E67" s="139"/>
      <c r="F67" s="139"/>
      <c r="G67" s="139"/>
      <c r="H67" s="139"/>
      <c r="I67" s="768"/>
      <c r="J67" s="421">
        <f t="shared" si="3"/>
        <v>0</v>
      </c>
    </row>
    <row r="68" spans="1:10" ht="19.5" customHeight="1">
      <c r="A68" s="1231" t="s">
        <v>559</v>
      </c>
      <c r="B68" s="1233" t="s">
        <v>251</v>
      </c>
      <c r="C68" s="1235" t="s">
        <v>560</v>
      </c>
      <c r="D68" s="1235" t="s">
        <v>1118</v>
      </c>
      <c r="E68" s="1235" t="s">
        <v>1119</v>
      </c>
      <c r="F68" s="1237" t="s">
        <v>561</v>
      </c>
      <c r="G68" s="1238"/>
      <c r="H68" s="1238"/>
      <c r="I68" s="1239"/>
      <c r="J68" s="421"/>
    </row>
    <row r="69" spans="1:10" ht="21" customHeight="1" thickBot="1">
      <c r="A69" s="1232"/>
      <c r="B69" s="1234"/>
      <c r="C69" s="1236"/>
      <c r="D69" s="1236"/>
      <c r="E69" s="1236"/>
      <c r="F69" s="792" t="s">
        <v>562</v>
      </c>
      <c r="G69" s="792" t="s">
        <v>563</v>
      </c>
      <c r="H69" s="792" t="s">
        <v>564</v>
      </c>
      <c r="I69" s="280" t="s">
        <v>565</v>
      </c>
      <c r="J69" s="421"/>
    </row>
    <row r="70" spans="1:10" ht="45.75" customHeight="1">
      <c r="A70" s="299"/>
      <c r="B70" s="310" t="s">
        <v>615</v>
      </c>
      <c r="C70" s="311" t="s">
        <v>250</v>
      </c>
      <c r="D70" s="736">
        <f aca="true" t="shared" si="8" ref="D70:I70">D65</f>
        <v>5253704.759999998</v>
      </c>
      <c r="E70" s="736">
        <f t="shared" si="8"/>
        <v>5349154.089999996</v>
      </c>
      <c r="F70" s="736">
        <f t="shared" si="8"/>
        <v>1590509.9790000003</v>
      </c>
      <c r="G70" s="736">
        <f t="shared" si="8"/>
        <v>1471124.161999995</v>
      </c>
      <c r="H70" s="736">
        <f t="shared" si="8"/>
        <v>1620318.3680000007</v>
      </c>
      <c r="I70" s="312">
        <f t="shared" si="8"/>
        <v>667201.5810000002</v>
      </c>
      <c r="J70" s="421">
        <f t="shared" si="3"/>
        <v>0</v>
      </c>
    </row>
    <row r="71" spans="1:10" ht="15.75" customHeight="1">
      <c r="A71" s="284"/>
      <c r="B71" s="285" t="s">
        <v>616</v>
      </c>
      <c r="C71" s="1106" t="s">
        <v>250</v>
      </c>
      <c r="D71" s="1104">
        <v>380000</v>
      </c>
      <c r="E71" s="1104">
        <f>E70*0.075</f>
        <v>401186.5567499997</v>
      </c>
      <c r="F71" s="1104">
        <f>F70*0.075</f>
        <v>119288.24842500001</v>
      </c>
      <c r="G71" s="1104">
        <f>G70*0.075</f>
        <v>110334.31214999962</v>
      </c>
      <c r="H71" s="1104">
        <f>H70*0.075</f>
        <v>121523.87760000005</v>
      </c>
      <c r="I71" s="1105">
        <f>I70*0.075</f>
        <v>50040.118575000015</v>
      </c>
      <c r="J71" s="421">
        <f t="shared" si="3"/>
        <v>0</v>
      </c>
    </row>
    <row r="72" spans="1:10" ht="42.75" customHeight="1">
      <c r="A72" s="284"/>
      <c r="B72" s="285" t="s">
        <v>617</v>
      </c>
      <c r="C72" s="1106" t="s">
        <v>250</v>
      </c>
      <c r="D72" s="1104">
        <v>452000</v>
      </c>
      <c r="E72" s="1104">
        <f>(E70-E71)*0.08</f>
        <v>395837.40265999973</v>
      </c>
      <c r="F72" s="1104">
        <f>(F70-F71)*0.08</f>
        <v>117697.73844600002</v>
      </c>
      <c r="G72" s="1104">
        <f>(G70-G71)*0.08</f>
        <v>108863.18798799963</v>
      </c>
      <c r="H72" s="1104">
        <f>(H70-H71)*0.08</f>
        <v>119903.55923200006</v>
      </c>
      <c r="I72" s="1105">
        <f>(I70-I71)*0.08</f>
        <v>49372.91699400002</v>
      </c>
      <c r="J72" s="421">
        <f t="shared" si="3"/>
        <v>0</v>
      </c>
    </row>
    <row r="73" spans="1:10" ht="18.75" customHeight="1">
      <c r="A73" s="284"/>
      <c r="B73" s="285" t="s">
        <v>254</v>
      </c>
      <c r="C73" s="1106" t="s">
        <v>250</v>
      </c>
      <c r="D73" s="1104">
        <f aca="true" t="shared" si="9" ref="D73:I73">D70-D71-D72</f>
        <v>4421704.759999998</v>
      </c>
      <c r="E73" s="1104">
        <f t="shared" si="9"/>
        <v>4552130.130589996</v>
      </c>
      <c r="F73" s="1104">
        <f t="shared" si="9"/>
        <v>1353523.9921290001</v>
      </c>
      <c r="G73" s="1104">
        <f t="shared" si="9"/>
        <v>1251926.6618619957</v>
      </c>
      <c r="H73" s="1104">
        <f t="shared" si="9"/>
        <v>1378890.9311680007</v>
      </c>
      <c r="I73" s="1105">
        <f t="shared" si="9"/>
        <v>567788.5454310003</v>
      </c>
      <c r="J73" s="421">
        <f t="shared" si="3"/>
        <v>0</v>
      </c>
    </row>
    <row r="74" spans="1:9" ht="30" customHeight="1">
      <c r="A74" s="284"/>
      <c r="B74" s="285" t="s">
        <v>618</v>
      </c>
      <c r="C74" s="1106" t="s">
        <v>250</v>
      </c>
      <c r="D74" s="1106"/>
      <c r="E74" s="304"/>
      <c r="F74" s="304"/>
      <c r="G74" s="304"/>
      <c r="H74" s="304"/>
      <c r="I74" s="305"/>
    </row>
    <row r="75" spans="1:9" ht="15" customHeight="1">
      <c r="A75" s="284"/>
      <c r="B75" s="285" t="s">
        <v>619</v>
      </c>
      <c r="C75" s="1106" t="s">
        <v>250</v>
      </c>
      <c r="D75" s="1104"/>
      <c r="E75" s="1106"/>
      <c r="F75" s="1106"/>
      <c r="G75" s="1106"/>
      <c r="H75" s="1106"/>
      <c r="I75" s="289"/>
    </row>
    <row r="76" spans="1:9" ht="18" customHeight="1">
      <c r="A76" s="284"/>
      <c r="B76" s="285" t="s">
        <v>620</v>
      </c>
      <c r="C76" s="1106" t="s">
        <v>250</v>
      </c>
      <c r="D76" s="1106"/>
      <c r="E76" s="1104"/>
      <c r="F76" s="1104"/>
      <c r="G76" s="1104"/>
      <c r="H76" s="1104"/>
      <c r="I76" s="1105"/>
    </row>
    <row r="77" spans="1:9" ht="16.5" customHeight="1">
      <c r="A77" s="284"/>
      <c r="B77" s="285" t="s">
        <v>621</v>
      </c>
      <c r="C77" s="1106" t="s">
        <v>250</v>
      </c>
      <c r="D77" s="1106"/>
      <c r="E77" s="1104"/>
      <c r="F77" s="1104"/>
      <c r="G77" s="1104"/>
      <c r="H77" s="1104"/>
      <c r="I77" s="1105"/>
    </row>
    <row r="78" spans="1:9" ht="15.75" customHeight="1">
      <c r="A78" s="284"/>
      <c r="B78" s="285" t="s">
        <v>622</v>
      </c>
      <c r="C78" s="1106" t="s">
        <v>250</v>
      </c>
      <c r="D78" s="1106"/>
      <c r="E78" s="1104"/>
      <c r="F78" s="1104"/>
      <c r="G78" s="1104"/>
      <c r="H78" s="1104"/>
      <c r="I78" s="1105"/>
    </row>
    <row r="79" spans="1:9" ht="19.5" customHeight="1" thickBot="1">
      <c r="A79" s="292"/>
      <c r="B79" s="293" t="s">
        <v>623</v>
      </c>
      <c r="C79" s="294" t="s">
        <v>250</v>
      </c>
      <c r="D79" s="294"/>
      <c r="E79" s="294"/>
      <c r="F79" s="294"/>
      <c r="G79" s="294"/>
      <c r="H79" s="294"/>
      <c r="I79" s="295"/>
    </row>
    <row r="80" spans="1:11" ht="12.75">
      <c r="A80" s="296"/>
      <c r="B80" s="313"/>
      <c r="C80" s="296"/>
      <c r="D80" s="771"/>
      <c r="E80" s="530">
        <f>D73</f>
        <v>4421704.759999998</v>
      </c>
      <c r="F80" s="771">
        <v>1337443.23918</v>
      </c>
      <c r="G80" s="771">
        <v>1212574.7731</v>
      </c>
      <c r="H80" s="771">
        <v>1347375.92971</v>
      </c>
      <c r="I80" s="782">
        <f>E80-H80-G80-F80</f>
        <v>524310.818009998</v>
      </c>
      <c r="J80" s="902"/>
      <c r="K80" s="314"/>
    </row>
    <row r="81" spans="1:11" ht="12.75">
      <c r="A81" s="274"/>
      <c r="D81" s="172"/>
      <c r="E81" s="175">
        <f>E73/E80*100</f>
        <v>102.94966257742632</v>
      </c>
      <c r="F81" s="175">
        <f>F73/F80*100</f>
        <v>101.20235031124456</v>
      </c>
      <c r="G81" s="175">
        <f>G73/G80*100</f>
        <v>103.24531646501197</v>
      </c>
      <c r="H81" s="175">
        <f>H73/H80*100</f>
        <v>102.33899097965804</v>
      </c>
      <c r="I81" s="175">
        <f>I73/I80*100</f>
        <v>108.29235749626918</v>
      </c>
      <c r="J81" s="902"/>
      <c r="K81" s="172"/>
    </row>
    <row r="82" spans="1:11" ht="12.75">
      <c r="A82" s="274"/>
      <c r="D82" s="172"/>
      <c r="E82" s="175">
        <f>E73-E80</f>
        <v>130425.37058999855</v>
      </c>
      <c r="F82" s="175">
        <f>F73-F80</f>
        <v>16080.752949000103</v>
      </c>
      <c r="G82" s="175">
        <f>G73-G80</f>
        <v>39351.88876199559</v>
      </c>
      <c r="H82" s="175">
        <f>H73-H80</f>
        <v>31515.001458000625</v>
      </c>
      <c r="I82" s="175">
        <f>I73-I80</f>
        <v>43477.727421002346</v>
      </c>
      <c r="J82" s="902"/>
      <c r="K82" s="172"/>
    </row>
    <row r="83" spans="1:11" ht="12.75">
      <c r="A83" s="274"/>
      <c r="D83" s="172"/>
      <c r="E83" s="175"/>
      <c r="F83" s="175"/>
      <c r="G83" s="175"/>
      <c r="H83" s="175"/>
      <c r="I83" s="175"/>
      <c r="J83" s="902"/>
      <c r="K83" s="172"/>
    </row>
    <row r="84" spans="1:11" ht="12.75">
      <c r="A84" s="274"/>
      <c r="D84" s="172"/>
      <c r="E84" s="175"/>
      <c r="F84" s="175"/>
      <c r="G84" s="175"/>
      <c r="H84" s="175"/>
      <c r="I84" s="175"/>
      <c r="J84" s="902"/>
      <c r="K84" s="172"/>
    </row>
    <row r="85" spans="1:9" ht="30" customHeight="1">
      <c r="A85" s="274"/>
      <c r="B85" s="137" t="s">
        <v>349</v>
      </c>
      <c r="D85" s="172"/>
      <c r="E85" s="172"/>
      <c r="F85" s="137" t="s">
        <v>684</v>
      </c>
      <c r="G85" s="172"/>
      <c r="H85" s="172"/>
      <c r="I85" s="172"/>
    </row>
    <row r="86" spans="1:6" ht="12.75">
      <c r="A86" s="274"/>
      <c r="B86" s="315" t="s">
        <v>351</v>
      </c>
      <c r="F86" s="137"/>
    </row>
    <row r="87" spans="1:9" ht="12.75">
      <c r="A87" s="274"/>
      <c r="F87" s="140"/>
      <c r="G87" s="140"/>
      <c r="H87" s="140"/>
      <c r="I87" s="140"/>
    </row>
    <row r="88" spans="1:6" ht="22.5" customHeight="1">
      <c r="A88" s="274"/>
      <c r="B88" s="137" t="s">
        <v>1482</v>
      </c>
      <c r="F88" s="137" t="s">
        <v>1448</v>
      </c>
    </row>
    <row r="89" ht="12.75">
      <c r="A89" s="274"/>
    </row>
    <row r="90" spans="1:6" ht="27" customHeight="1">
      <c r="A90" s="274"/>
      <c r="B90" s="137" t="s">
        <v>1112</v>
      </c>
      <c r="F90" s="137" t="s">
        <v>352</v>
      </c>
    </row>
    <row r="91" ht="12.75">
      <c r="A91" s="274"/>
    </row>
  </sheetData>
  <sheetProtection/>
  <mergeCells count="29">
    <mergeCell ref="F34:I34"/>
    <mergeCell ref="A2:I2"/>
    <mergeCell ref="A3:I3"/>
    <mergeCell ref="A5:A6"/>
    <mergeCell ref="B5:B6"/>
    <mergeCell ref="C5:C6"/>
    <mergeCell ref="D5:D6"/>
    <mergeCell ref="E5:E6"/>
    <mergeCell ref="F5:I5"/>
    <mergeCell ref="B58:B59"/>
    <mergeCell ref="C58:C59"/>
    <mergeCell ref="D58:D59"/>
    <mergeCell ref="E58:E59"/>
    <mergeCell ref="F58:F59"/>
    <mergeCell ref="A34:A35"/>
    <mergeCell ref="B34:B35"/>
    <mergeCell ref="C34:C35"/>
    <mergeCell ref="D34:D35"/>
    <mergeCell ref="E34:E35"/>
    <mergeCell ref="G58:G59"/>
    <mergeCell ref="H58:H59"/>
    <mergeCell ref="I58:I59"/>
    <mergeCell ref="A68:A69"/>
    <mergeCell ref="B68:B69"/>
    <mergeCell ref="C68:C69"/>
    <mergeCell ref="D68:D69"/>
    <mergeCell ref="E68:E69"/>
    <mergeCell ref="F68:I68"/>
    <mergeCell ref="A58:A59"/>
  </mergeCells>
  <printOptions/>
  <pageMargins left="0.4724409448818898" right="0.2362204724409449" top="0.5511811023622047" bottom="0.2755905511811024" header="0.31496062992125984" footer="0.31496062992125984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4:G44"/>
  <sheetViews>
    <sheetView showZeros="0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43.375" style="53" customWidth="1"/>
    <col min="2" max="2" width="6.875" style="31" customWidth="1"/>
    <col min="3" max="5" width="12.25390625" style="31" customWidth="1"/>
    <col min="6" max="6" width="12.25390625" style="171" customWidth="1"/>
    <col min="7" max="7" width="12.875" style="31" customWidth="1"/>
    <col min="8" max="9" width="9.125" style="31" customWidth="1"/>
    <col min="10" max="10" width="14.00390625" style="31" customWidth="1"/>
    <col min="11" max="16384" width="9.125" style="31" customWidth="1"/>
  </cols>
  <sheetData>
    <row r="1" ht="7.5" customHeight="1"/>
    <row r="2" ht="7.5" customHeight="1"/>
    <row r="3" ht="7.5" customHeight="1"/>
    <row r="4" spans="1:6" ht="63" customHeight="1">
      <c r="A4" s="1353" t="s">
        <v>341</v>
      </c>
      <c r="B4" s="1353"/>
      <c r="C4" s="1353"/>
      <c r="D4" s="1353"/>
      <c r="E4" s="1353"/>
      <c r="F4" s="1353"/>
    </row>
    <row r="5" spans="1:6" ht="15">
      <c r="A5" s="1404" t="s">
        <v>1257</v>
      </c>
      <c r="B5" s="1404"/>
      <c r="C5" s="1404"/>
      <c r="D5" s="1404"/>
      <c r="E5" s="1404"/>
      <c r="F5" s="1404"/>
    </row>
    <row r="6" ht="12" thickBot="1"/>
    <row r="7" spans="1:7" ht="27.75" customHeight="1">
      <c r="A7" s="1418" t="s">
        <v>147</v>
      </c>
      <c r="B7" s="1420" t="s">
        <v>148</v>
      </c>
      <c r="C7" s="1417" t="s">
        <v>687</v>
      </c>
      <c r="D7" s="1417"/>
      <c r="E7" s="1417" t="s">
        <v>1278</v>
      </c>
      <c r="F7" s="1417"/>
      <c r="G7" s="1109" t="s">
        <v>1279</v>
      </c>
    </row>
    <row r="8" spans="1:7" ht="38.25" customHeight="1" thickBot="1">
      <c r="A8" s="1419"/>
      <c r="B8" s="1421"/>
      <c r="C8" s="1117" t="s">
        <v>50</v>
      </c>
      <c r="D8" s="1118" t="s">
        <v>51</v>
      </c>
      <c r="E8" s="1117" t="s">
        <v>50</v>
      </c>
      <c r="F8" s="1118" t="s">
        <v>51</v>
      </c>
      <c r="G8" s="1119" t="s">
        <v>50</v>
      </c>
    </row>
    <row r="9" spans="1:7" ht="11.25" customHeight="1" thickBot="1">
      <c r="A9" s="1121">
        <v>1</v>
      </c>
      <c r="B9" s="1122">
        <v>2</v>
      </c>
      <c r="C9" s="1122">
        <v>3</v>
      </c>
      <c r="D9" s="1123">
        <v>4</v>
      </c>
      <c r="E9" s="1122">
        <v>5</v>
      </c>
      <c r="F9" s="1123">
        <v>6</v>
      </c>
      <c r="G9" s="1124">
        <v>7</v>
      </c>
    </row>
    <row r="10" spans="1:7" ht="50.25" customHeight="1">
      <c r="A10" s="687" t="s">
        <v>149</v>
      </c>
      <c r="B10" s="677">
        <v>10</v>
      </c>
      <c r="C10" s="679">
        <v>37608688</v>
      </c>
      <c r="D10" s="679">
        <v>42805286</v>
      </c>
      <c r="E10" s="679">
        <v>51418520</v>
      </c>
      <c r="F10" s="679">
        <v>54398760</v>
      </c>
      <c r="G10" s="1120">
        <v>59895693</v>
      </c>
    </row>
    <row r="11" spans="1:7" ht="38.25" customHeight="1">
      <c r="A11" s="689" t="s">
        <v>150</v>
      </c>
      <c r="B11" s="56">
        <v>20</v>
      </c>
      <c r="C11" s="167">
        <v>30410913</v>
      </c>
      <c r="D11" s="167">
        <v>31371807</v>
      </c>
      <c r="E11" s="167">
        <v>39524779</v>
      </c>
      <c r="F11" s="167">
        <v>40744671</v>
      </c>
      <c r="G11" s="1111">
        <v>45336656</v>
      </c>
    </row>
    <row r="12" spans="1:7" ht="49.5" customHeight="1">
      <c r="A12" s="691" t="s">
        <v>151</v>
      </c>
      <c r="B12" s="59">
        <v>30</v>
      </c>
      <c r="C12" s="169">
        <f>C10-C11</f>
        <v>7197775</v>
      </c>
      <c r="D12" s="170">
        <f>D10-D11</f>
        <v>11433479</v>
      </c>
      <c r="E12" s="169">
        <f>E10-E11</f>
        <v>11893741</v>
      </c>
      <c r="F12" s="170">
        <f>F10-F11</f>
        <v>13654089</v>
      </c>
      <c r="G12" s="1112">
        <f>G10-G11</f>
        <v>14559037</v>
      </c>
    </row>
    <row r="13" spans="1:7" ht="47.25" customHeight="1">
      <c r="A13" s="691" t="s">
        <v>307</v>
      </c>
      <c r="B13" s="61">
        <v>40</v>
      </c>
      <c r="C13" s="169">
        <v>5931412</v>
      </c>
      <c r="D13" s="170">
        <f>D14+D15+D16</f>
        <v>7510653</v>
      </c>
      <c r="E13" s="170">
        <f>E14+E15+E16</f>
        <v>7722562</v>
      </c>
      <c r="F13" s="170">
        <f>F14+F15+F16</f>
        <v>8561427</v>
      </c>
      <c r="G13" s="1112">
        <f>G14+G15+G16</f>
        <v>9289120</v>
      </c>
    </row>
    <row r="14" spans="1:7" ht="25.5" customHeight="1">
      <c r="A14" s="689" t="s">
        <v>152</v>
      </c>
      <c r="B14" s="62">
        <v>50</v>
      </c>
      <c r="C14" s="167">
        <v>85576</v>
      </c>
      <c r="D14" s="167">
        <v>90904</v>
      </c>
      <c r="E14" s="167">
        <v>100012</v>
      </c>
      <c r="F14" s="167">
        <v>150582</v>
      </c>
      <c r="G14" s="1110">
        <v>148788</v>
      </c>
    </row>
    <row r="15" spans="1:7" ht="25.5" customHeight="1">
      <c r="A15" s="689" t="s">
        <v>153</v>
      </c>
      <c r="B15" s="56">
        <v>60</v>
      </c>
      <c r="C15" s="167">
        <v>1771392</v>
      </c>
      <c r="D15" s="167">
        <v>1796065</v>
      </c>
      <c r="E15" s="167">
        <v>2358196</v>
      </c>
      <c r="F15" s="167">
        <v>2622572</v>
      </c>
      <c r="G15" s="1110">
        <v>2930448</v>
      </c>
    </row>
    <row r="16" spans="1:7" ht="25.5" customHeight="1">
      <c r="A16" s="689" t="s">
        <v>154</v>
      </c>
      <c r="B16" s="56">
        <v>70</v>
      </c>
      <c r="C16" s="167">
        <v>4074444</v>
      </c>
      <c r="D16" s="167">
        <v>5623684</v>
      </c>
      <c r="E16" s="167">
        <v>5264354</v>
      </c>
      <c r="F16" s="167">
        <v>5788273</v>
      </c>
      <c r="G16" s="1111">
        <v>6209884</v>
      </c>
    </row>
    <row r="17" spans="1:7" ht="48" customHeight="1">
      <c r="A17" s="689" t="s">
        <v>155</v>
      </c>
      <c r="B17" s="56">
        <v>80</v>
      </c>
      <c r="C17" s="167"/>
      <c r="D17" s="167"/>
      <c r="E17" s="167"/>
      <c r="F17" s="167"/>
      <c r="G17" s="1110"/>
    </row>
    <row r="18" spans="1:7" ht="25.5" customHeight="1">
      <c r="A18" s="689" t="s">
        <v>1261</v>
      </c>
      <c r="B18" s="56">
        <v>90</v>
      </c>
      <c r="C18" s="167">
        <v>586000</v>
      </c>
      <c r="D18" s="167">
        <v>619741</v>
      </c>
      <c r="E18" s="167">
        <v>346000</v>
      </c>
      <c r="F18" s="167">
        <v>725155</v>
      </c>
      <c r="G18" s="693">
        <v>440000</v>
      </c>
    </row>
    <row r="19" spans="1:7" ht="45.75" customHeight="1">
      <c r="A19" s="691" t="s">
        <v>157</v>
      </c>
      <c r="B19" s="54">
        <v>100</v>
      </c>
      <c r="C19" s="169">
        <f>C12-C13+C18</f>
        <v>1852363</v>
      </c>
      <c r="D19" s="170">
        <f>D12-D13+D18</f>
        <v>4542567</v>
      </c>
      <c r="E19" s="169">
        <f>E12-E13+E18</f>
        <v>4517179</v>
      </c>
      <c r="F19" s="170">
        <f>F12-F13+F18</f>
        <v>5817817</v>
      </c>
      <c r="G19" s="1112">
        <f>G12-G13+G18</f>
        <v>5709917</v>
      </c>
    </row>
    <row r="20" spans="1:7" ht="46.5" customHeight="1">
      <c r="A20" s="691" t="s">
        <v>158</v>
      </c>
      <c r="B20" s="54">
        <v>110</v>
      </c>
      <c r="C20" s="169"/>
      <c r="D20" s="170"/>
      <c r="E20" s="169"/>
      <c r="F20" s="170"/>
      <c r="G20" s="693"/>
    </row>
    <row r="21" spans="1:7" ht="24" customHeight="1">
      <c r="A21" s="689" t="s">
        <v>305</v>
      </c>
      <c r="B21" s="63">
        <v>120</v>
      </c>
      <c r="C21" s="167"/>
      <c r="D21" s="167"/>
      <c r="E21" s="167"/>
      <c r="F21" s="167"/>
      <c r="G21" s="693"/>
    </row>
    <row r="22" spans="1:7" ht="24.75" customHeight="1">
      <c r="A22" s="689" t="s">
        <v>159</v>
      </c>
      <c r="B22" s="63">
        <v>130</v>
      </c>
      <c r="C22" s="167"/>
      <c r="D22" s="167"/>
      <c r="E22" s="167"/>
      <c r="F22" s="167"/>
      <c r="G22" s="693"/>
    </row>
    <row r="23" spans="1:7" ht="22.5" customHeight="1">
      <c r="A23" s="689" t="s">
        <v>160</v>
      </c>
      <c r="B23" s="63">
        <v>140</v>
      </c>
      <c r="C23" s="167"/>
      <c r="D23" s="167"/>
      <c r="E23" s="167"/>
      <c r="F23" s="167"/>
      <c r="G23" s="693"/>
    </row>
    <row r="24" spans="1:7" ht="25.5" customHeight="1">
      <c r="A24" s="692" t="s">
        <v>161</v>
      </c>
      <c r="B24" s="63">
        <v>150</v>
      </c>
      <c r="C24" s="167"/>
      <c r="D24" s="167"/>
      <c r="E24" s="167"/>
      <c r="F24" s="167"/>
      <c r="G24" s="693"/>
    </row>
    <row r="25" spans="1:7" ht="15" customHeight="1">
      <c r="A25" s="689" t="s">
        <v>304</v>
      </c>
      <c r="B25" s="63">
        <v>160</v>
      </c>
      <c r="C25" s="167"/>
      <c r="D25" s="167"/>
      <c r="E25" s="167"/>
      <c r="F25" s="167"/>
      <c r="G25" s="693"/>
    </row>
    <row r="26" spans="1:7" ht="45" customHeight="1">
      <c r="A26" s="691" t="s">
        <v>162</v>
      </c>
      <c r="B26" s="54">
        <v>170</v>
      </c>
      <c r="C26" s="169">
        <v>756027</v>
      </c>
      <c r="D26" s="170">
        <v>780691</v>
      </c>
      <c r="E26" s="169">
        <f>E27</f>
        <v>564112</v>
      </c>
      <c r="F26" s="169">
        <f>F27</f>
        <v>564112</v>
      </c>
      <c r="G26" s="1113">
        <f>G27</f>
        <v>360763</v>
      </c>
    </row>
    <row r="27" spans="1:7" ht="25.5" customHeight="1">
      <c r="A27" s="692" t="s">
        <v>163</v>
      </c>
      <c r="B27" s="63">
        <v>180</v>
      </c>
      <c r="C27" s="167">
        <f>C26</f>
        <v>756027</v>
      </c>
      <c r="D27" s="176">
        <v>780691</v>
      </c>
      <c r="E27" s="167">
        <v>564112</v>
      </c>
      <c r="F27" s="176">
        <v>564112</v>
      </c>
      <c r="G27" s="693">
        <v>360763</v>
      </c>
    </row>
    <row r="28" spans="1:7" ht="45" customHeight="1">
      <c r="A28" s="689" t="s">
        <v>164</v>
      </c>
      <c r="B28" s="63">
        <v>190</v>
      </c>
      <c r="C28" s="167"/>
      <c r="D28" s="170"/>
      <c r="E28" s="167"/>
      <c r="F28" s="170"/>
      <c r="G28" s="693"/>
    </row>
    <row r="29" spans="1:7" ht="25.5" customHeight="1">
      <c r="A29" s="692" t="s">
        <v>165</v>
      </c>
      <c r="B29" s="63">
        <v>200</v>
      </c>
      <c r="C29" s="167"/>
      <c r="D29" s="167"/>
      <c r="E29" s="167"/>
      <c r="F29" s="167"/>
      <c r="G29" s="693"/>
    </row>
    <row r="30" spans="1:7" ht="25.5" customHeight="1">
      <c r="A30" s="689" t="s">
        <v>306</v>
      </c>
      <c r="B30" s="63">
        <v>210</v>
      </c>
      <c r="C30" s="167"/>
      <c r="D30" s="167"/>
      <c r="E30" s="167"/>
      <c r="F30" s="167"/>
      <c r="G30" s="693"/>
    </row>
    <row r="31" spans="1:7" ht="46.5" customHeight="1">
      <c r="A31" s="691" t="s">
        <v>166</v>
      </c>
      <c r="B31" s="54">
        <v>220</v>
      </c>
      <c r="C31" s="169">
        <f>C19-C26</f>
        <v>1096336</v>
      </c>
      <c r="D31" s="170">
        <f>D19-D26</f>
        <v>3761876</v>
      </c>
      <c r="E31" s="169">
        <f>E19-E26+1</f>
        <v>3953068</v>
      </c>
      <c r="F31" s="170">
        <f>F19-F26</f>
        <v>5253705</v>
      </c>
      <c r="G31" s="1112">
        <f>G19-G26+1</f>
        <v>5349155</v>
      </c>
    </row>
    <row r="32" spans="1:7" ht="25.5" customHeight="1">
      <c r="A32" s="689" t="s">
        <v>167</v>
      </c>
      <c r="B32" s="63">
        <v>230</v>
      </c>
      <c r="C32" s="167"/>
      <c r="D32" s="167"/>
      <c r="E32" s="167"/>
      <c r="F32" s="167"/>
      <c r="G32" s="693"/>
    </row>
    <row r="33" spans="1:7" ht="48.75" customHeight="1">
      <c r="A33" s="691" t="s">
        <v>168</v>
      </c>
      <c r="B33" s="54">
        <v>240</v>
      </c>
      <c r="C33" s="169">
        <f>C31-C32</f>
        <v>1096336</v>
      </c>
      <c r="D33" s="170">
        <f>D31-D32</f>
        <v>3761876</v>
      </c>
      <c r="E33" s="169">
        <f>E31-E32</f>
        <v>3953068</v>
      </c>
      <c r="F33" s="170">
        <f>F31-F32</f>
        <v>5253705</v>
      </c>
      <c r="G33" s="1112">
        <f>G31-G32</f>
        <v>5349155</v>
      </c>
    </row>
    <row r="34" spans="1:7" ht="24.75" customHeight="1">
      <c r="A34" s="689" t="s">
        <v>169</v>
      </c>
      <c r="B34" s="63">
        <v>250</v>
      </c>
      <c r="C34" s="167">
        <v>82225</v>
      </c>
      <c r="D34" s="167">
        <v>290347</v>
      </c>
      <c r="E34" s="167">
        <v>296480</v>
      </c>
      <c r="F34" s="167">
        <v>380000</v>
      </c>
      <c r="G34" s="693">
        <f>G33*0.075</f>
        <v>401186.625</v>
      </c>
    </row>
    <row r="35" spans="1:7" ht="24.75" customHeight="1">
      <c r="A35" s="689" t="s">
        <v>170</v>
      </c>
      <c r="B35" s="63">
        <v>251</v>
      </c>
      <c r="C35" s="167"/>
      <c r="D35" s="167"/>
      <c r="E35" s="167"/>
      <c r="F35" s="167"/>
      <c r="G35" s="693"/>
    </row>
    <row r="36" spans="1:7" ht="24.75" customHeight="1">
      <c r="A36" s="689" t="s">
        <v>171</v>
      </c>
      <c r="B36" s="63">
        <v>260</v>
      </c>
      <c r="C36" s="167">
        <v>117129</v>
      </c>
      <c r="D36" s="167">
        <v>277722</v>
      </c>
      <c r="E36" s="167">
        <v>292527</v>
      </c>
      <c r="F36" s="167">
        <v>452000</v>
      </c>
      <c r="G36" s="693">
        <f>(G33-G34)*0.08</f>
        <v>395837.47000000003</v>
      </c>
    </row>
    <row r="37" spans="1:7" ht="45.75" customHeight="1" thickBot="1">
      <c r="A37" s="694" t="s">
        <v>172</v>
      </c>
      <c r="B37" s="695">
        <v>270</v>
      </c>
      <c r="C37" s="1114">
        <f>C33-C34-C36</f>
        <v>896982</v>
      </c>
      <c r="D37" s="1115">
        <f>D33-D34-D36</f>
        <v>3193807</v>
      </c>
      <c r="E37" s="1114">
        <f>E33-E34-E36</f>
        <v>3364061</v>
      </c>
      <c r="F37" s="1114">
        <f>F33-F34-F36</f>
        <v>4421705</v>
      </c>
      <c r="G37" s="1116">
        <f>G33-G34-G36-1</f>
        <v>4552129.905</v>
      </c>
    </row>
    <row r="39" spans="1:7" ht="22.5" customHeight="1">
      <c r="A39" s="137" t="s">
        <v>349</v>
      </c>
      <c r="B39" s="172"/>
      <c r="C39" s="137" t="s">
        <v>350</v>
      </c>
      <c r="D39" s="173"/>
      <c r="G39" s="118"/>
    </row>
    <row r="40" spans="1:7" ht="14.25" customHeight="1">
      <c r="A40" s="138" t="s">
        <v>351</v>
      </c>
      <c r="B40" s="172"/>
      <c r="C40" s="174"/>
      <c r="D40" s="138"/>
      <c r="E40" s="64">
        <v>1737499.971084386</v>
      </c>
      <c r="G40" s="118"/>
    </row>
    <row r="41" spans="1:5" ht="11.25" customHeight="1">
      <c r="A41" s="172"/>
      <c r="B41" s="172"/>
      <c r="C41" s="175"/>
      <c r="D41" s="172"/>
      <c r="E41" s="65">
        <f>+E37+E40</f>
        <v>5101560.971084386</v>
      </c>
    </row>
    <row r="42" spans="1:4" ht="19.5" customHeight="1">
      <c r="A42" s="137" t="s">
        <v>1459</v>
      </c>
      <c r="B42" s="172"/>
      <c r="C42" s="137" t="s">
        <v>1448</v>
      </c>
      <c r="D42" s="137"/>
    </row>
    <row r="43" spans="1:4" ht="12.75">
      <c r="A43" s="172"/>
      <c r="B43" s="172"/>
      <c r="C43" s="172"/>
      <c r="D43" s="172"/>
    </row>
    <row r="44" spans="1:4" ht="30.75" customHeight="1">
      <c r="A44" s="137" t="s">
        <v>1112</v>
      </c>
      <c r="B44" s="172"/>
      <c r="C44" s="137" t="s">
        <v>352</v>
      </c>
      <c r="D44" s="137"/>
    </row>
  </sheetData>
  <sheetProtection/>
  <mergeCells count="6">
    <mergeCell ref="A4:F4"/>
    <mergeCell ref="A5:F5"/>
    <mergeCell ref="E7:F7"/>
    <mergeCell ref="A7:A8"/>
    <mergeCell ref="B7:B8"/>
    <mergeCell ref="C7:D7"/>
  </mergeCells>
  <printOptions horizontalCentered="1"/>
  <pageMargins left="0.1968503937007874" right="0.3937007874015748" top="0.3937007874015748" bottom="0.3937007874015748" header="0.31496062992125984" footer="0.31496062992125984"/>
  <pageSetup fitToHeight="2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57"/>
  <sheetViews>
    <sheetView zoomScale="115" zoomScaleNormal="115" zoomScaleSheetLayoutView="100" zoomScalePageLayoutView="0" workbookViewId="0" topLeftCell="A46">
      <selection activeCell="A37" sqref="A37:AJ37"/>
    </sheetView>
  </sheetViews>
  <sheetFormatPr defaultColWidth="3.75390625" defaultRowHeight="12.75"/>
  <cols>
    <col min="1" max="3" width="3.75390625" style="77" customWidth="1"/>
    <col min="4" max="4" width="5.125" style="77" customWidth="1"/>
    <col min="5" max="8" width="3.75390625" style="77" customWidth="1"/>
    <col min="9" max="10" width="1.875" style="77" customWidth="1"/>
    <col min="11" max="11" width="1.25" style="77" customWidth="1"/>
    <col min="12" max="12" width="6.875" style="77" customWidth="1"/>
    <col min="13" max="14" width="1.25" style="77" customWidth="1"/>
    <col min="15" max="15" width="1.12109375" style="77" customWidth="1"/>
    <col min="16" max="16" width="1.625" style="77" customWidth="1"/>
    <col min="17" max="17" width="1.37890625" style="77" customWidth="1"/>
    <col min="18" max="18" width="1.875" style="77" customWidth="1"/>
    <col min="19" max="21" width="1.25" style="77" customWidth="1"/>
    <col min="22" max="22" width="0.875" style="77" customWidth="1"/>
    <col min="23" max="23" width="1.12109375" style="77" customWidth="1"/>
    <col min="24" max="24" width="5.25390625" style="77" hidden="1" customWidth="1"/>
    <col min="25" max="25" width="2.375" style="77" customWidth="1"/>
    <col min="26" max="33" width="3.75390625" style="77" customWidth="1"/>
    <col min="34" max="34" width="5.25390625" style="77" bestFit="1" customWidth="1"/>
    <col min="35" max="35" width="2.875" style="77" customWidth="1"/>
    <col min="36" max="36" width="3.125" style="77" customWidth="1"/>
    <col min="37" max="37" width="12.875" style="66" bestFit="1" customWidth="1"/>
    <col min="38" max="38" width="11.00390625" style="66" bestFit="1" customWidth="1"/>
    <col min="39" max="16384" width="3.75390625" style="66" customWidth="1"/>
  </cols>
  <sheetData>
    <row r="1" spans="1:36" ht="55.5" customHeight="1">
      <c r="A1" s="1422" t="s">
        <v>173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  <c r="Q1" s="1422"/>
      <c r="R1" s="1422"/>
      <c r="S1" s="1422"/>
      <c r="T1" s="1422"/>
      <c r="U1" s="1422"/>
      <c r="V1" s="1422"/>
      <c r="W1" s="1422"/>
      <c r="X1" s="1422"/>
      <c r="Y1" s="1422"/>
      <c r="Z1" s="1422"/>
      <c r="AA1" s="1422"/>
      <c r="AB1" s="1422"/>
      <c r="AC1" s="1422"/>
      <c r="AD1" s="1422"/>
      <c r="AE1" s="1422"/>
      <c r="AF1" s="1422"/>
      <c r="AG1" s="1422"/>
      <c r="AH1" s="1422"/>
      <c r="AI1" s="1422"/>
      <c r="AJ1" s="1422"/>
    </row>
    <row r="2" spans="1:36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</row>
    <row r="3" spans="1:36" ht="48" customHeight="1">
      <c r="A3" s="1423" t="s">
        <v>174</v>
      </c>
      <c r="B3" s="1423"/>
      <c r="C3" s="1423"/>
      <c r="D3" s="1423"/>
      <c r="E3" s="1423"/>
      <c r="F3" s="1423"/>
      <c r="G3" s="1423"/>
      <c r="H3" s="1423"/>
      <c r="I3" s="1423"/>
      <c r="J3" s="1423"/>
      <c r="K3" s="1423"/>
      <c r="L3" s="1423"/>
      <c r="M3" s="1423"/>
      <c r="N3" s="1423"/>
      <c r="O3" s="1423"/>
      <c r="P3" s="1423"/>
      <c r="Q3" s="1423"/>
      <c r="R3" s="1423"/>
      <c r="S3" s="1423"/>
      <c r="T3" s="1423"/>
      <c r="U3" s="1423"/>
      <c r="V3" s="1423"/>
      <c r="W3" s="1423"/>
      <c r="X3" s="1423"/>
      <c r="Y3" s="1423"/>
      <c r="Z3" s="1423"/>
      <c r="AA3" s="1423"/>
      <c r="AB3" s="1423"/>
      <c r="AC3" s="1423" t="s">
        <v>175</v>
      </c>
      <c r="AD3" s="1423"/>
      <c r="AE3" s="1423" t="s">
        <v>176</v>
      </c>
      <c r="AF3" s="1423"/>
      <c r="AG3" s="1423"/>
      <c r="AH3" s="1423" t="s">
        <v>177</v>
      </c>
      <c r="AI3" s="1423"/>
      <c r="AJ3" s="1423"/>
    </row>
    <row r="4" spans="1:36" ht="12.75">
      <c r="A4" s="1423">
        <v>1</v>
      </c>
      <c r="B4" s="1423"/>
      <c r="C4" s="1423"/>
      <c r="D4" s="1423"/>
      <c r="E4" s="1423"/>
      <c r="F4" s="1423"/>
      <c r="G4" s="1423"/>
      <c r="H4" s="1423"/>
      <c r="I4" s="1423"/>
      <c r="J4" s="1423"/>
      <c r="K4" s="1423"/>
      <c r="L4" s="1423"/>
      <c r="M4" s="1423"/>
      <c r="N4" s="1423"/>
      <c r="O4" s="1423"/>
      <c r="P4" s="1423"/>
      <c r="Q4" s="1423"/>
      <c r="R4" s="1423"/>
      <c r="S4" s="1423"/>
      <c r="T4" s="1423"/>
      <c r="U4" s="1423"/>
      <c r="V4" s="1423"/>
      <c r="W4" s="1423"/>
      <c r="X4" s="1423"/>
      <c r="Y4" s="1423"/>
      <c r="Z4" s="1423"/>
      <c r="AA4" s="1423"/>
      <c r="AB4" s="1423"/>
      <c r="AC4" s="1423">
        <v>2</v>
      </c>
      <c r="AD4" s="1423"/>
      <c r="AE4" s="1423">
        <v>3</v>
      </c>
      <c r="AF4" s="1423"/>
      <c r="AG4" s="1423"/>
      <c r="AH4" s="1423">
        <v>4</v>
      </c>
      <c r="AI4" s="1423"/>
      <c r="AJ4" s="1423"/>
    </row>
    <row r="5" spans="1:36" ht="12.75" customHeight="1">
      <c r="A5" s="1423" t="s">
        <v>178</v>
      </c>
      <c r="B5" s="1423"/>
      <c r="C5" s="1423"/>
      <c r="D5" s="1423"/>
      <c r="E5" s="1423"/>
      <c r="F5" s="1423"/>
      <c r="G5" s="1423"/>
      <c r="H5" s="1423"/>
      <c r="I5" s="1423"/>
      <c r="J5" s="1423"/>
      <c r="K5" s="1423"/>
      <c r="L5" s="1423"/>
      <c r="M5" s="1423"/>
      <c r="N5" s="1423"/>
      <c r="O5" s="1423"/>
      <c r="P5" s="1423"/>
      <c r="Q5" s="1423"/>
      <c r="R5" s="1423"/>
      <c r="S5" s="1423"/>
      <c r="T5" s="1423"/>
      <c r="U5" s="1423"/>
      <c r="V5" s="1423"/>
      <c r="W5" s="1423"/>
      <c r="X5" s="1423"/>
      <c r="Y5" s="1423"/>
      <c r="Z5" s="1423"/>
      <c r="AA5" s="1423"/>
      <c r="AB5" s="1423"/>
      <c r="AC5" s="1423"/>
      <c r="AD5" s="1423"/>
      <c r="AE5" s="1423"/>
      <c r="AF5" s="1423"/>
      <c r="AG5" s="1423"/>
      <c r="AH5" s="1423"/>
      <c r="AI5" s="1423"/>
      <c r="AJ5" s="1423"/>
    </row>
    <row r="6" spans="1:37" ht="25.5" customHeight="1">
      <c r="A6" s="1424" t="s">
        <v>179</v>
      </c>
      <c r="B6" s="1424"/>
      <c r="C6" s="1424"/>
      <c r="D6" s="1424"/>
      <c r="E6" s="1424"/>
      <c r="F6" s="1424"/>
      <c r="G6" s="1424"/>
      <c r="H6" s="1424"/>
      <c r="I6" s="1424"/>
      <c r="J6" s="1424"/>
      <c r="K6" s="1424"/>
      <c r="L6" s="1424"/>
      <c r="M6" s="1424"/>
      <c r="N6" s="1424"/>
      <c r="O6" s="1424"/>
      <c r="P6" s="1424"/>
      <c r="Q6" s="1424"/>
      <c r="R6" s="1424"/>
      <c r="S6" s="1424"/>
      <c r="T6" s="1424"/>
      <c r="U6" s="1424"/>
      <c r="V6" s="1424"/>
      <c r="W6" s="1424"/>
      <c r="X6" s="1424"/>
      <c r="Y6" s="1424"/>
      <c r="Z6" s="1424"/>
      <c r="AA6" s="1424"/>
      <c r="AB6" s="1424"/>
      <c r="AC6" s="1425" t="s">
        <v>180</v>
      </c>
      <c r="AD6" s="1425"/>
      <c r="AE6" s="1426">
        <v>83039740</v>
      </c>
      <c r="AF6" s="1426"/>
      <c r="AG6" s="1426"/>
      <c r="AH6" s="1426"/>
      <c r="AI6" s="1426"/>
      <c r="AJ6" s="1426"/>
      <c r="AK6" s="67"/>
    </row>
    <row r="7" spans="1:36" ht="24" customHeight="1">
      <c r="A7" s="1424" t="s">
        <v>181</v>
      </c>
      <c r="B7" s="1424"/>
      <c r="C7" s="1424"/>
      <c r="D7" s="1424"/>
      <c r="E7" s="1424"/>
      <c r="F7" s="1424"/>
      <c r="G7" s="1424"/>
      <c r="H7" s="1424"/>
      <c r="I7" s="1424"/>
      <c r="J7" s="1424"/>
      <c r="K7" s="1424"/>
      <c r="L7" s="1424"/>
      <c r="M7" s="1424"/>
      <c r="N7" s="1424"/>
      <c r="O7" s="1424"/>
      <c r="P7" s="1424"/>
      <c r="Q7" s="1424"/>
      <c r="R7" s="1424"/>
      <c r="S7" s="1424"/>
      <c r="T7" s="1424"/>
      <c r="U7" s="1424"/>
      <c r="V7" s="1424"/>
      <c r="W7" s="1424"/>
      <c r="X7" s="1424"/>
      <c r="Y7" s="1424"/>
      <c r="Z7" s="1424"/>
      <c r="AA7" s="1424"/>
      <c r="AB7" s="1424"/>
      <c r="AC7" s="1425" t="s">
        <v>182</v>
      </c>
      <c r="AD7" s="1425"/>
      <c r="AE7" s="1426"/>
      <c r="AF7" s="1426"/>
      <c r="AG7" s="1426"/>
      <c r="AH7" s="1426">
        <v>39607662</v>
      </c>
      <c r="AI7" s="1426"/>
      <c r="AJ7" s="1426"/>
    </row>
    <row r="8" spans="1:36" ht="25.5" customHeight="1">
      <c r="A8" s="1424" t="s">
        <v>183</v>
      </c>
      <c r="B8" s="1424"/>
      <c r="C8" s="1424"/>
      <c r="D8" s="1424"/>
      <c r="E8" s="1424"/>
      <c r="F8" s="1424"/>
      <c r="G8" s="1424"/>
      <c r="H8" s="1424"/>
      <c r="I8" s="1424"/>
      <c r="J8" s="1424"/>
      <c r="K8" s="1424"/>
      <c r="L8" s="1424"/>
      <c r="M8" s="1424"/>
      <c r="N8" s="1424"/>
      <c r="O8" s="1424"/>
      <c r="P8" s="1424"/>
      <c r="Q8" s="1424"/>
      <c r="R8" s="1424"/>
      <c r="S8" s="1424"/>
      <c r="T8" s="1424"/>
      <c r="U8" s="1424"/>
      <c r="V8" s="1424"/>
      <c r="W8" s="1424"/>
      <c r="X8" s="1424"/>
      <c r="Y8" s="1424"/>
      <c r="Z8" s="1424"/>
      <c r="AA8" s="1424"/>
      <c r="AB8" s="1424"/>
      <c r="AC8" s="1425" t="s">
        <v>184</v>
      </c>
      <c r="AD8" s="1425"/>
      <c r="AE8" s="1426"/>
      <c r="AF8" s="1426"/>
      <c r="AG8" s="1426"/>
      <c r="AH8" s="1426">
        <v>14136668</v>
      </c>
      <c r="AI8" s="1426"/>
      <c r="AJ8" s="1426"/>
    </row>
    <row r="9" spans="1:36" ht="22.5" customHeight="1">
      <c r="A9" s="1424" t="s">
        <v>185</v>
      </c>
      <c r="B9" s="1424"/>
      <c r="C9" s="1424"/>
      <c r="D9" s="1424"/>
      <c r="E9" s="1424"/>
      <c r="F9" s="1424"/>
      <c r="G9" s="1424"/>
      <c r="H9" s="1424"/>
      <c r="I9" s="1424"/>
      <c r="J9" s="1424"/>
      <c r="K9" s="1424"/>
      <c r="L9" s="1424"/>
      <c r="M9" s="1424"/>
      <c r="N9" s="1424"/>
      <c r="O9" s="1424"/>
      <c r="P9" s="1424"/>
      <c r="Q9" s="1424"/>
      <c r="R9" s="1424"/>
      <c r="S9" s="1424"/>
      <c r="T9" s="1424"/>
      <c r="U9" s="1424"/>
      <c r="V9" s="1424"/>
      <c r="W9" s="1424"/>
      <c r="X9" s="1424"/>
      <c r="Y9" s="1424"/>
      <c r="Z9" s="1424"/>
      <c r="AA9" s="1424"/>
      <c r="AB9" s="1424"/>
      <c r="AC9" s="1425" t="s">
        <v>186</v>
      </c>
      <c r="AD9" s="1425"/>
      <c r="AE9" s="1426">
        <v>370557</v>
      </c>
      <c r="AF9" s="1426"/>
      <c r="AG9" s="1426"/>
      <c r="AH9" s="1426">
        <v>7645088</v>
      </c>
      <c r="AI9" s="1426"/>
      <c r="AJ9" s="1426"/>
    </row>
    <row r="10" spans="1:36" ht="36.75" customHeight="1">
      <c r="A10" s="1424" t="s">
        <v>187</v>
      </c>
      <c r="B10" s="1424"/>
      <c r="C10" s="1424"/>
      <c r="D10" s="1424"/>
      <c r="E10" s="1424"/>
      <c r="F10" s="1424"/>
      <c r="G10" s="1424"/>
      <c r="H10" s="1424"/>
      <c r="I10" s="1424"/>
      <c r="J10" s="1424"/>
      <c r="K10" s="1424"/>
      <c r="L10" s="1424"/>
      <c r="M10" s="1424"/>
      <c r="N10" s="1424"/>
      <c r="O10" s="1424"/>
      <c r="P10" s="1424"/>
      <c r="Q10" s="1424"/>
      <c r="R10" s="1424"/>
      <c r="S10" s="1424"/>
      <c r="T10" s="1424"/>
      <c r="U10" s="1424"/>
      <c r="V10" s="1424"/>
      <c r="W10" s="1424"/>
      <c r="X10" s="1424"/>
      <c r="Y10" s="1424"/>
      <c r="Z10" s="1424"/>
      <c r="AA10" s="1424"/>
      <c r="AB10" s="1424"/>
      <c r="AC10" s="1425" t="s">
        <v>188</v>
      </c>
      <c r="AD10" s="1425"/>
      <c r="AE10" s="1426">
        <f>AE6-AH7-AH8-AH9+AE9</f>
        <v>22020879</v>
      </c>
      <c r="AF10" s="1426"/>
      <c r="AG10" s="1426"/>
      <c r="AH10" s="1426"/>
      <c r="AI10" s="1426"/>
      <c r="AJ10" s="1426"/>
    </row>
    <row r="11" spans="1:36" ht="12.75" customHeight="1">
      <c r="A11" s="1423" t="s">
        <v>189</v>
      </c>
      <c r="B11" s="1423"/>
      <c r="C11" s="1423"/>
      <c r="D11" s="1423"/>
      <c r="E11" s="1423"/>
      <c r="F11" s="1423"/>
      <c r="G11" s="1423"/>
      <c r="H11" s="1423"/>
      <c r="I11" s="1423"/>
      <c r="J11" s="1423"/>
      <c r="K11" s="1423"/>
      <c r="L11" s="1423"/>
      <c r="M11" s="1423"/>
      <c r="N11" s="1423"/>
      <c r="O11" s="1423"/>
      <c r="P11" s="1423"/>
      <c r="Q11" s="1423"/>
      <c r="R11" s="1423"/>
      <c r="S11" s="1423"/>
      <c r="T11" s="1423"/>
      <c r="U11" s="1423"/>
      <c r="V11" s="1423"/>
      <c r="W11" s="1423"/>
      <c r="X11" s="1423"/>
      <c r="Y11" s="1423"/>
      <c r="Z11" s="1423"/>
      <c r="AA11" s="1423"/>
      <c r="AB11" s="1423"/>
      <c r="AC11" s="1425"/>
      <c r="AD11" s="1425"/>
      <c r="AE11" s="1426"/>
      <c r="AF11" s="1426"/>
      <c r="AG11" s="1426"/>
      <c r="AH11" s="1426"/>
      <c r="AI11" s="1426"/>
      <c r="AJ11" s="1426"/>
    </row>
    <row r="12" spans="1:36" ht="24" customHeight="1">
      <c r="A12" s="1427" t="s">
        <v>190</v>
      </c>
      <c r="B12" s="1427"/>
      <c r="C12" s="1427"/>
      <c r="D12" s="1427"/>
      <c r="E12" s="1427"/>
      <c r="F12" s="1427"/>
      <c r="G12" s="1427"/>
      <c r="H12" s="1427"/>
      <c r="I12" s="1427"/>
      <c r="J12" s="1427"/>
      <c r="K12" s="1427"/>
      <c r="L12" s="1427"/>
      <c r="M12" s="1427"/>
      <c r="N12" s="1427"/>
      <c r="O12" s="1427"/>
      <c r="P12" s="1427"/>
      <c r="Q12" s="1427"/>
      <c r="R12" s="1427"/>
      <c r="S12" s="1427"/>
      <c r="T12" s="1427"/>
      <c r="U12" s="1427"/>
      <c r="V12" s="1427"/>
      <c r="W12" s="1427"/>
      <c r="X12" s="1427"/>
      <c r="Y12" s="1427"/>
      <c r="Z12" s="1427"/>
      <c r="AA12" s="1427"/>
      <c r="AB12" s="1427"/>
      <c r="AC12" s="1425" t="s">
        <v>191</v>
      </c>
      <c r="AD12" s="1425"/>
      <c r="AE12" s="1426">
        <v>3268865</v>
      </c>
      <c r="AF12" s="1426"/>
      <c r="AG12" s="1426"/>
      <c r="AH12" s="1426"/>
      <c r="AI12" s="1426"/>
      <c r="AJ12" s="1426"/>
    </row>
    <row r="13" spans="1:36" ht="24.75" customHeight="1">
      <c r="A13" s="1427" t="s">
        <v>192</v>
      </c>
      <c r="B13" s="1427"/>
      <c r="C13" s="1427"/>
      <c r="D13" s="1427"/>
      <c r="E13" s="1427"/>
      <c r="F13" s="1427"/>
      <c r="G13" s="1427"/>
      <c r="H13" s="1427"/>
      <c r="I13" s="1427"/>
      <c r="J13" s="1427"/>
      <c r="K13" s="1427"/>
      <c r="L13" s="1427"/>
      <c r="M13" s="1427"/>
      <c r="N13" s="1427"/>
      <c r="O13" s="1427"/>
      <c r="P13" s="1427"/>
      <c r="Q13" s="1427"/>
      <c r="R13" s="1427"/>
      <c r="S13" s="1427"/>
      <c r="T13" s="1427"/>
      <c r="U13" s="1427"/>
      <c r="V13" s="1427"/>
      <c r="W13" s="1427"/>
      <c r="X13" s="1427"/>
      <c r="Y13" s="1427"/>
      <c r="Z13" s="1427"/>
      <c r="AA13" s="1427"/>
      <c r="AB13" s="1427"/>
      <c r="AC13" s="1425" t="s">
        <v>193</v>
      </c>
      <c r="AD13" s="1425"/>
      <c r="AE13" s="1426"/>
      <c r="AF13" s="1426"/>
      <c r="AG13" s="1426"/>
      <c r="AH13" s="1426"/>
      <c r="AI13" s="1426"/>
      <c r="AJ13" s="1426"/>
    </row>
    <row r="14" spans="1:36" ht="23.25" customHeight="1">
      <c r="A14" s="1427" t="s">
        <v>194</v>
      </c>
      <c r="B14" s="1427"/>
      <c r="C14" s="1427"/>
      <c r="D14" s="1427"/>
      <c r="E14" s="1427"/>
      <c r="F14" s="1427"/>
      <c r="G14" s="1427"/>
      <c r="H14" s="1427"/>
      <c r="I14" s="1427"/>
      <c r="J14" s="1427"/>
      <c r="K14" s="1427"/>
      <c r="L14" s="1427"/>
      <c r="M14" s="1427"/>
      <c r="N14" s="1427"/>
      <c r="O14" s="1427"/>
      <c r="P14" s="1427"/>
      <c r="Q14" s="1427"/>
      <c r="R14" s="1427"/>
      <c r="S14" s="1427"/>
      <c r="T14" s="1427"/>
      <c r="U14" s="1427"/>
      <c r="V14" s="1427"/>
      <c r="W14" s="1427"/>
      <c r="X14" s="1427"/>
      <c r="Y14" s="1427"/>
      <c r="Z14" s="1427"/>
      <c r="AA14" s="1427"/>
      <c r="AB14" s="1427"/>
      <c r="AC14" s="1425" t="s">
        <v>195</v>
      </c>
      <c r="AD14" s="1425"/>
      <c r="AE14" s="1426"/>
      <c r="AF14" s="1426"/>
      <c r="AG14" s="1426"/>
      <c r="AH14" s="1426"/>
      <c r="AI14" s="1426"/>
      <c r="AJ14" s="1426"/>
    </row>
    <row r="15" spans="1:36" ht="24.75" customHeight="1">
      <c r="A15" s="1427" t="s">
        <v>196</v>
      </c>
      <c r="B15" s="1427"/>
      <c r="C15" s="1427"/>
      <c r="D15" s="1427"/>
      <c r="E15" s="1427"/>
      <c r="F15" s="1427"/>
      <c r="G15" s="1427"/>
      <c r="H15" s="1427"/>
      <c r="I15" s="1427"/>
      <c r="J15" s="1427"/>
      <c r="K15" s="1427"/>
      <c r="L15" s="1427"/>
      <c r="M15" s="1427"/>
      <c r="N15" s="1427"/>
      <c r="O15" s="1427"/>
      <c r="P15" s="1427"/>
      <c r="Q15" s="1427"/>
      <c r="R15" s="1427"/>
      <c r="S15" s="1427"/>
      <c r="T15" s="1427"/>
      <c r="U15" s="1427"/>
      <c r="V15" s="1427"/>
      <c r="W15" s="1427"/>
      <c r="X15" s="1427"/>
      <c r="Y15" s="1427"/>
      <c r="Z15" s="1427"/>
      <c r="AA15" s="1427"/>
      <c r="AB15" s="1427"/>
      <c r="AC15" s="1425" t="s">
        <v>197</v>
      </c>
      <c r="AD15" s="1425"/>
      <c r="AE15" s="1426"/>
      <c r="AF15" s="1426"/>
      <c r="AG15" s="1426"/>
      <c r="AH15" s="1426"/>
      <c r="AI15" s="1426"/>
      <c r="AJ15" s="1426"/>
    </row>
    <row r="16" spans="1:36" ht="23.25" customHeight="1">
      <c r="A16" s="1427" t="s">
        <v>198</v>
      </c>
      <c r="B16" s="1427"/>
      <c r="C16" s="1427"/>
      <c r="D16" s="1427"/>
      <c r="E16" s="1427"/>
      <c r="F16" s="1427"/>
      <c r="G16" s="1427"/>
      <c r="H16" s="1427"/>
      <c r="I16" s="1427"/>
      <c r="J16" s="1427"/>
      <c r="K16" s="1427"/>
      <c r="L16" s="1427"/>
      <c r="M16" s="1427"/>
      <c r="N16" s="1427"/>
      <c r="O16" s="1427"/>
      <c r="P16" s="1427"/>
      <c r="Q16" s="1427"/>
      <c r="R16" s="1427"/>
      <c r="S16" s="1427"/>
      <c r="T16" s="1427"/>
      <c r="U16" s="1427"/>
      <c r="V16" s="1427"/>
      <c r="W16" s="1427"/>
      <c r="X16" s="1427"/>
      <c r="Y16" s="1427"/>
      <c r="Z16" s="1427"/>
      <c r="AA16" s="1427"/>
      <c r="AB16" s="1427"/>
      <c r="AC16" s="1425" t="s">
        <v>199</v>
      </c>
      <c r="AD16" s="1425"/>
      <c r="AE16" s="1426">
        <f>SUM(AE12:AE15)</f>
        <v>3268865</v>
      </c>
      <c r="AF16" s="1426"/>
      <c r="AG16" s="1426"/>
      <c r="AH16" s="1426"/>
      <c r="AI16" s="1426"/>
      <c r="AJ16" s="1426"/>
    </row>
    <row r="17" spans="1:36" ht="12.75">
      <c r="A17" s="1423" t="s">
        <v>200</v>
      </c>
      <c r="B17" s="1423"/>
      <c r="C17" s="1423"/>
      <c r="D17" s="1423"/>
      <c r="E17" s="1423"/>
      <c r="F17" s="1423"/>
      <c r="G17" s="1423"/>
      <c r="H17" s="1423"/>
      <c r="I17" s="1423"/>
      <c r="J17" s="1423"/>
      <c r="K17" s="1423"/>
      <c r="L17" s="1423"/>
      <c r="M17" s="1423"/>
      <c r="N17" s="1423"/>
      <c r="O17" s="1423"/>
      <c r="P17" s="1423"/>
      <c r="Q17" s="1423"/>
      <c r="R17" s="1423"/>
      <c r="S17" s="1423"/>
      <c r="T17" s="1423"/>
      <c r="U17" s="1423"/>
      <c r="V17" s="1423"/>
      <c r="W17" s="1423"/>
      <c r="X17" s="1423"/>
      <c r="Y17" s="1423"/>
      <c r="Z17" s="1423"/>
      <c r="AA17" s="1423"/>
      <c r="AB17" s="1423"/>
      <c r="AC17" s="1425"/>
      <c r="AD17" s="1425"/>
      <c r="AE17" s="1426"/>
      <c r="AF17" s="1426"/>
      <c r="AG17" s="1426"/>
      <c r="AH17" s="1426"/>
      <c r="AI17" s="1426"/>
      <c r="AJ17" s="1426"/>
    </row>
    <row r="18" spans="1:36" ht="23.25" customHeight="1">
      <c r="A18" s="1427" t="s">
        <v>201</v>
      </c>
      <c r="B18" s="1427"/>
      <c r="C18" s="1427"/>
      <c r="D18" s="1427"/>
      <c r="E18" s="1427"/>
      <c r="F18" s="1427"/>
      <c r="G18" s="1427"/>
      <c r="H18" s="1427"/>
      <c r="I18" s="1427"/>
      <c r="J18" s="1427"/>
      <c r="K18" s="1427"/>
      <c r="L18" s="1427"/>
      <c r="M18" s="1427"/>
      <c r="N18" s="1427"/>
      <c r="O18" s="1427"/>
      <c r="P18" s="1427"/>
      <c r="Q18" s="1427"/>
      <c r="R18" s="1427"/>
      <c r="S18" s="1427"/>
      <c r="T18" s="1427"/>
      <c r="U18" s="1427"/>
      <c r="V18" s="1427"/>
      <c r="W18" s="1427"/>
      <c r="X18" s="1427"/>
      <c r="Y18" s="1427"/>
      <c r="Z18" s="1427"/>
      <c r="AA18" s="1427"/>
      <c r="AB18" s="1427"/>
      <c r="AC18" s="1425" t="s">
        <v>202</v>
      </c>
      <c r="AD18" s="1425"/>
      <c r="AE18" s="1426"/>
      <c r="AF18" s="1426"/>
      <c r="AG18" s="1426"/>
      <c r="AH18" s="1426">
        <v>534095</v>
      </c>
      <c r="AI18" s="1426"/>
      <c r="AJ18" s="1426"/>
    </row>
    <row r="19" spans="1:36" ht="21.75" customHeight="1">
      <c r="A19" s="1427" t="s">
        <v>203</v>
      </c>
      <c r="B19" s="1427"/>
      <c r="C19" s="1427"/>
      <c r="D19" s="1427"/>
      <c r="E19" s="1427"/>
      <c r="F19" s="1427"/>
      <c r="G19" s="1427"/>
      <c r="H19" s="1427"/>
      <c r="I19" s="1427"/>
      <c r="J19" s="1427"/>
      <c r="K19" s="1427"/>
      <c r="L19" s="1427"/>
      <c r="M19" s="1427"/>
      <c r="N19" s="1427"/>
      <c r="O19" s="1427"/>
      <c r="P19" s="1427"/>
      <c r="Q19" s="1427"/>
      <c r="R19" s="1427"/>
      <c r="S19" s="1427"/>
      <c r="T19" s="1427"/>
      <c r="U19" s="1427"/>
      <c r="V19" s="1427"/>
      <c r="W19" s="1427"/>
      <c r="X19" s="1427"/>
      <c r="Y19" s="1427"/>
      <c r="Z19" s="1427"/>
      <c r="AA19" s="1427"/>
      <c r="AB19" s="1427"/>
      <c r="AC19" s="1425" t="s">
        <v>204</v>
      </c>
      <c r="AD19" s="1425"/>
      <c r="AE19" s="1426"/>
      <c r="AF19" s="1426"/>
      <c r="AG19" s="1426"/>
      <c r="AH19" s="1426"/>
      <c r="AI19" s="1426"/>
      <c r="AJ19" s="1426"/>
    </row>
    <row r="20" spans="1:36" ht="44.25" customHeight="1">
      <c r="A20" s="1427" t="s">
        <v>205</v>
      </c>
      <c r="B20" s="1427"/>
      <c r="C20" s="1427"/>
      <c r="D20" s="1427"/>
      <c r="E20" s="1427"/>
      <c r="F20" s="1427"/>
      <c r="G20" s="1427"/>
      <c r="H20" s="1427"/>
      <c r="I20" s="1427"/>
      <c r="J20" s="1427"/>
      <c r="K20" s="1427"/>
      <c r="L20" s="1427"/>
      <c r="M20" s="1427"/>
      <c r="N20" s="1427"/>
      <c r="O20" s="1427"/>
      <c r="P20" s="1427"/>
      <c r="Q20" s="1427"/>
      <c r="R20" s="1427"/>
      <c r="S20" s="1427"/>
      <c r="T20" s="1427"/>
      <c r="U20" s="1427"/>
      <c r="V20" s="1427"/>
      <c r="W20" s="1427"/>
      <c r="X20" s="1427"/>
      <c r="Y20" s="1427"/>
      <c r="Z20" s="1427"/>
      <c r="AA20" s="1427"/>
      <c r="AB20" s="1427"/>
      <c r="AC20" s="1425" t="s">
        <v>206</v>
      </c>
      <c r="AD20" s="1425"/>
      <c r="AE20" s="1426"/>
      <c r="AF20" s="1426"/>
      <c r="AG20" s="1426"/>
      <c r="AH20" s="1426"/>
      <c r="AI20" s="1426"/>
      <c r="AJ20" s="1426"/>
    </row>
    <row r="21" spans="1:36" ht="24" customHeight="1">
      <c r="A21" s="1427" t="s">
        <v>207</v>
      </c>
      <c r="B21" s="1427"/>
      <c r="C21" s="1427"/>
      <c r="D21" s="1427"/>
      <c r="E21" s="1427"/>
      <c r="F21" s="1427"/>
      <c r="G21" s="1427"/>
      <c r="H21" s="1427"/>
      <c r="I21" s="1427"/>
      <c r="J21" s="1427"/>
      <c r="K21" s="1427"/>
      <c r="L21" s="1427"/>
      <c r="M21" s="1427"/>
      <c r="N21" s="1427"/>
      <c r="O21" s="1427"/>
      <c r="P21" s="1427"/>
      <c r="Q21" s="1427"/>
      <c r="R21" s="1427"/>
      <c r="S21" s="1427"/>
      <c r="T21" s="1427"/>
      <c r="U21" s="1427"/>
      <c r="V21" s="1427"/>
      <c r="W21" s="1427"/>
      <c r="X21" s="1427"/>
      <c r="Y21" s="1427"/>
      <c r="Z21" s="1427"/>
      <c r="AA21" s="1427"/>
      <c r="AB21" s="1427"/>
      <c r="AC21" s="1425" t="s">
        <v>208</v>
      </c>
      <c r="AD21" s="1425"/>
      <c r="AE21" s="1426"/>
      <c r="AF21" s="1426"/>
      <c r="AG21" s="1426"/>
      <c r="AH21" s="1426"/>
      <c r="AI21" s="1426"/>
      <c r="AJ21" s="1426"/>
    </row>
    <row r="22" spans="1:38" ht="24.75" customHeight="1">
      <c r="A22" s="1427" t="s">
        <v>209</v>
      </c>
      <c r="B22" s="1427"/>
      <c r="C22" s="1427"/>
      <c r="D22" s="1427"/>
      <c r="E22" s="1427"/>
      <c r="F22" s="1427"/>
      <c r="G22" s="1427"/>
      <c r="H22" s="1427"/>
      <c r="I22" s="1427"/>
      <c r="J22" s="1427"/>
      <c r="K22" s="1427"/>
      <c r="L22" s="1427"/>
      <c r="M22" s="1427"/>
      <c r="N22" s="1427"/>
      <c r="O22" s="1427"/>
      <c r="P22" s="1427"/>
      <c r="Q22" s="1427"/>
      <c r="R22" s="1427"/>
      <c r="S22" s="1427"/>
      <c r="T22" s="1427"/>
      <c r="U22" s="1427"/>
      <c r="V22" s="1427"/>
      <c r="W22" s="1427"/>
      <c r="X22" s="1427"/>
      <c r="Y22" s="1427"/>
      <c r="Z22" s="1427"/>
      <c r="AA22" s="1427"/>
      <c r="AB22" s="1427"/>
      <c r="AC22" s="1425" t="s">
        <v>210</v>
      </c>
      <c r="AD22" s="1425"/>
      <c r="AE22" s="1426"/>
      <c r="AF22" s="1426"/>
      <c r="AG22" s="1426"/>
      <c r="AH22" s="1426">
        <v>1680000</v>
      </c>
      <c r="AI22" s="1426"/>
      <c r="AJ22" s="1426"/>
      <c r="AL22" s="67"/>
    </row>
    <row r="23" spans="1:36" ht="24" customHeight="1">
      <c r="A23" s="1427" t="s">
        <v>211</v>
      </c>
      <c r="B23" s="1427"/>
      <c r="C23" s="1427"/>
      <c r="D23" s="1427"/>
      <c r="E23" s="1427"/>
      <c r="F23" s="1427"/>
      <c r="G23" s="1427"/>
      <c r="H23" s="1427"/>
      <c r="I23" s="1427"/>
      <c r="J23" s="1427"/>
      <c r="K23" s="1427"/>
      <c r="L23" s="1427"/>
      <c r="M23" s="1427"/>
      <c r="N23" s="1427"/>
      <c r="O23" s="1427"/>
      <c r="P23" s="1427"/>
      <c r="Q23" s="1427"/>
      <c r="R23" s="1427"/>
      <c r="S23" s="1427"/>
      <c r="T23" s="1427"/>
      <c r="U23" s="1427"/>
      <c r="V23" s="1427"/>
      <c r="W23" s="1427"/>
      <c r="X23" s="1427"/>
      <c r="Y23" s="1427"/>
      <c r="Z23" s="1427"/>
      <c r="AA23" s="1427"/>
      <c r="AB23" s="1427"/>
      <c r="AC23" s="1425" t="s">
        <v>212</v>
      </c>
      <c r="AD23" s="1425"/>
      <c r="AE23" s="1426"/>
      <c r="AF23" s="1426"/>
      <c r="AG23" s="1426"/>
      <c r="AH23" s="1426"/>
      <c r="AI23" s="1426"/>
      <c r="AJ23" s="1426"/>
    </row>
    <row r="24" spans="1:36" ht="24" customHeight="1">
      <c r="A24" s="1427" t="s">
        <v>213</v>
      </c>
      <c r="B24" s="1427"/>
      <c r="C24" s="1427"/>
      <c r="D24" s="1427"/>
      <c r="E24" s="1427"/>
      <c r="F24" s="1427"/>
      <c r="G24" s="1427"/>
      <c r="H24" s="1427"/>
      <c r="I24" s="1427"/>
      <c r="J24" s="1427"/>
      <c r="K24" s="1427"/>
      <c r="L24" s="1427"/>
      <c r="M24" s="1427"/>
      <c r="N24" s="1427"/>
      <c r="O24" s="1427"/>
      <c r="P24" s="1427"/>
      <c r="Q24" s="1427"/>
      <c r="R24" s="1427"/>
      <c r="S24" s="1427"/>
      <c r="T24" s="1427"/>
      <c r="U24" s="1427"/>
      <c r="V24" s="1427"/>
      <c r="W24" s="1427"/>
      <c r="X24" s="1427"/>
      <c r="Y24" s="1427"/>
      <c r="Z24" s="1427"/>
      <c r="AA24" s="1427"/>
      <c r="AB24" s="1427"/>
      <c r="AC24" s="1425" t="s">
        <v>214</v>
      </c>
      <c r="AD24" s="1425"/>
      <c r="AE24" s="1426"/>
      <c r="AF24" s="1426"/>
      <c r="AG24" s="1426"/>
      <c r="AH24" s="1426"/>
      <c r="AI24" s="1426"/>
      <c r="AJ24" s="1426"/>
    </row>
    <row r="25" spans="1:36" ht="45" customHeight="1">
      <c r="A25" s="1427" t="s">
        <v>215</v>
      </c>
      <c r="B25" s="1427"/>
      <c r="C25" s="1427"/>
      <c r="D25" s="1427"/>
      <c r="E25" s="1427"/>
      <c r="F25" s="1427"/>
      <c r="G25" s="1427"/>
      <c r="H25" s="1427"/>
      <c r="I25" s="1427"/>
      <c r="J25" s="1427"/>
      <c r="K25" s="1427"/>
      <c r="L25" s="1427"/>
      <c r="M25" s="1427"/>
      <c r="N25" s="1427"/>
      <c r="O25" s="1427"/>
      <c r="P25" s="1427"/>
      <c r="Q25" s="1427"/>
      <c r="R25" s="1427"/>
      <c r="S25" s="1427"/>
      <c r="T25" s="1427"/>
      <c r="U25" s="1427"/>
      <c r="V25" s="1427"/>
      <c r="W25" s="1427"/>
      <c r="X25" s="1427"/>
      <c r="Y25" s="1427"/>
      <c r="Z25" s="1427"/>
      <c r="AA25" s="1427"/>
      <c r="AB25" s="1427"/>
      <c r="AC25" s="1425" t="s">
        <v>216</v>
      </c>
      <c r="AD25" s="1425"/>
      <c r="AE25" s="1426"/>
      <c r="AF25" s="1426"/>
      <c r="AG25" s="1426"/>
      <c r="AH25" s="1426">
        <v>2214095</v>
      </c>
      <c r="AI25" s="1426"/>
      <c r="AJ25" s="1426"/>
    </row>
    <row r="26" spans="1:36" ht="12.75">
      <c r="A26" s="1423" t="s">
        <v>217</v>
      </c>
      <c r="B26" s="1423"/>
      <c r="C26" s="1423"/>
      <c r="D26" s="1423"/>
      <c r="E26" s="1423"/>
      <c r="F26" s="1423"/>
      <c r="G26" s="1423"/>
      <c r="H26" s="1423"/>
      <c r="I26" s="1423"/>
      <c r="J26" s="1423"/>
      <c r="K26" s="1423"/>
      <c r="L26" s="1423"/>
      <c r="M26" s="1423"/>
      <c r="N26" s="1423"/>
      <c r="O26" s="1423"/>
      <c r="P26" s="1423"/>
      <c r="Q26" s="1423"/>
      <c r="R26" s="1423"/>
      <c r="S26" s="1423"/>
      <c r="T26" s="1423"/>
      <c r="U26" s="1423"/>
      <c r="V26" s="1423"/>
      <c r="W26" s="1423"/>
      <c r="X26" s="1423"/>
      <c r="Y26" s="1423"/>
      <c r="Z26" s="1423"/>
      <c r="AA26" s="1423"/>
      <c r="AB26" s="1423"/>
      <c r="AC26" s="1425"/>
      <c r="AD26" s="1425"/>
      <c r="AE26" s="1426"/>
      <c r="AF26" s="1426"/>
      <c r="AG26" s="1426"/>
      <c r="AH26" s="1426"/>
      <c r="AI26" s="1426"/>
      <c r="AJ26" s="1426"/>
    </row>
    <row r="27" spans="1:38" ht="24.75" customHeight="1">
      <c r="A27" s="1427" t="s">
        <v>218</v>
      </c>
      <c r="B27" s="1427"/>
      <c r="C27" s="1427"/>
      <c r="D27" s="1427"/>
      <c r="E27" s="1427"/>
      <c r="F27" s="1427"/>
      <c r="G27" s="1427"/>
      <c r="H27" s="1427"/>
      <c r="I27" s="1427"/>
      <c r="J27" s="1427"/>
      <c r="K27" s="1427"/>
      <c r="L27" s="1427"/>
      <c r="M27" s="1427"/>
      <c r="N27" s="1427"/>
      <c r="O27" s="1427"/>
      <c r="P27" s="1427"/>
      <c r="Q27" s="1427"/>
      <c r="R27" s="1427"/>
      <c r="S27" s="1427"/>
      <c r="T27" s="1427"/>
      <c r="U27" s="1427"/>
      <c r="V27" s="1427"/>
      <c r="W27" s="1427"/>
      <c r="X27" s="1427"/>
      <c r="Y27" s="1427"/>
      <c r="Z27" s="1427"/>
      <c r="AA27" s="1427"/>
      <c r="AB27" s="1427"/>
      <c r="AC27" s="1425" t="s">
        <v>219</v>
      </c>
      <c r="AD27" s="1425"/>
      <c r="AE27" s="1426"/>
      <c r="AF27" s="1426"/>
      <c r="AG27" s="1426"/>
      <c r="AH27" s="1426">
        <v>401187</v>
      </c>
      <c r="AI27" s="1426"/>
      <c r="AJ27" s="1426"/>
      <c r="AL27" s="67"/>
    </row>
    <row r="28" spans="1:38" ht="21.75" customHeight="1">
      <c r="A28" s="1427" t="s">
        <v>220</v>
      </c>
      <c r="B28" s="1427"/>
      <c r="C28" s="1427"/>
      <c r="D28" s="1427"/>
      <c r="E28" s="1427"/>
      <c r="F28" s="1427"/>
      <c r="G28" s="1427"/>
      <c r="H28" s="1427"/>
      <c r="I28" s="1427"/>
      <c r="J28" s="1427"/>
      <c r="K28" s="1427"/>
      <c r="L28" s="1427"/>
      <c r="M28" s="1427"/>
      <c r="N28" s="1427"/>
      <c r="O28" s="1427"/>
      <c r="P28" s="1427"/>
      <c r="Q28" s="1427"/>
      <c r="R28" s="1427"/>
      <c r="S28" s="1427"/>
      <c r="T28" s="1427"/>
      <c r="U28" s="1427"/>
      <c r="V28" s="1427"/>
      <c r="W28" s="1427"/>
      <c r="X28" s="1427"/>
      <c r="Y28" s="1427"/>
      <c r="Z28" s="1427"/>
      <c r="AA28" s="1427"/>
      <c r="AB28" s="1427"/>
      <c r="AC28" s="1425" t="s">
        <v>221</v>
      </c>
      <c r="AD28" s="1425"/>
      <c r="AE28" s="1426"/>
      <c r="AF28" s="1426"/>
      <c r="AG28" s="1426"/>
      <c r="AH28" s="1426">
        <v>20348310</v>
      </c>
      <c r="AI28" s="1426"/>
      <c r="AJ28" s="1426"/>
      <c r="AL28" s="67"/>
    </row>
    <row r="29" spans="1:38" ht="22.5" customHeight="1">
      <c r="A29" s="1427" t="s">
        <v>222</v>
      </c>
      <c r="B29" s="1427"/>
      <c r="C29" s="1427"/>
      <c r="D29" s="1427"/>
      <c r="E29" s="1427"/>
      <c r="F29" s="1427"/>
      <c r="G29" s="1427"/>
      <c r="H29" s="1427"/>
      <c r="I29" s="1427"/>
      <c r="J29" s="1427"/>
      <c r="K29" s="1427"/>
      <c r="L29" s="1427"/>
      <c r="M29" s="1427"/>
      <c r="N29" s="1427"/>
      <c r="O29" s="1427"/>
      <c r="P29" s="1427"/>
      <c r="Q29" s="1427"/>
      <c r="R29" s="1427"/>
      <c r="S29" s="1427"/>
      <c r="T29" s="1427"/>
      <c r="U29" s="1427"/>
      <c r="V29" s="1427"/>
      <c r="W29" s="1427"/>
      <c r="X29" s="1427"/>
      <c r="Y29" s="1427"/>
      <c r="Z29" s="1427"/>
      <c r="AA29" s="1427"/>
      <c r="AB29" s="1427"/>
      <c r="AC29" s="1425" t="s">
        <v>223</v>
      </c>
      <c r="AD29" s="1425"/>
      <c r="AE29" s="1426"/>
      <c r="AF29" s="1426"/>
      <c r="AG29" s="1426"/>
      <c r="AH29" s="1426">
        <f>SUM(AH27:AH28)</f>
        <v>20749497</v>
      </c>
      <c r="AI29" s="1426"/>
      <c r="AJ29" s="1426"/>
      <c r="AL29" s="67"/>
    </row>
    <row r="30" spans="1:37" ht="32.25" customHeight="1">
      <c r="A30" s="1427" t="s">
        <v>224</v>
      </c>
      <c r="B30" s="1427"/>
      <c r="C30" s="1427"/>
      <c r="D30" s="1427"/>
      <c r="E30" s="1427"/>
      <c r="F30" s="1427"/>
      <c r="G30" s="1427"/>
      <c r="H30" s="1427"/>
      <c r="I30" s="1427"/>
      <c r="J30" s="1427"/>
      <c r="K30" s="1427"/>
      <c r="L30" s="1427"/>
      <c r="M30" s="1427"/>
      <c r="N30" s="1427"/>
      <c r="O30" s="1427"/>
      <c r="P30" s="1427"/>
      <c r="Q30" s="1427"/>
      <c r="R30" s="1427"/>
      <c r="S30" s="1427"/>
      <c r="T30" s="1427"/>
      <c r="U30" s="1427"/>
      <c r="V30" s="1427"/>
      <c r="W30" s="1427"/>
      <c r="X30" s="1427"/>
      <c r="Y30" s="1427"/>
      <c r="Z30" s="1427"/>
      <c r="AA30" s="1427"/>
      <c r="AB30" s="1427"/>
      <c r="AC30" s="1425" t="s">
        <v>225</v>
      </c>
      <c r="AD30" s="1425"/>
      <c r="AE30" s="1426"/>
      <c r="AF30" s="1426"/>
      <c r="AG30" s="1426"/>
      <c r="AH30" s="1426">
        <v>2326092</v>
      </c>
      <c r="AI30" s="1426"/>
      <c r="AJ30" s="1426"/>
      <c r="AK30" s="67"/>
    </row>
    <row r="31" spans="1:36" ht="44.25" customHeight="1">
      <c r="A31" s="1427" t="s">
        <v>226</v>
      </c>
      <c r="B31" s="1427"/>
      <c r="C31" s="1427"/>
      <c r="D31" s="1427"/>
      <c r="E31" s="1427"/>
      <c r="F31" s="1427"/>
      <c r="G31" s="1427"/>
      <c r="H31" s="1427"/>
      <c r="I31" s="1427"/>
      <c r="J31" s="1427"/>
      <c r="K31" s="1427"/>
      <c r="L31" s="1427"/>
      <c r="M31" s="1427"/>
      <c r="N31" s="1427"/>
      <c r="O31" s="1427"/>
      <c r="P31" s="1427"/>
      <c r="Q31" s="1427"/>
      <c r="R31" s="1427"/>
      <c r="S31" s="1427"/>
      <c r="T31" s="1427"/>
      <c r="U31" s="1427"/>
      <c r="V31" s="1427"/>
      <c r="W31" s="1427"/>
      <c r="X31" s="1427"/>
      <c r="Y31" s="1427"/>
      <c r="Z31" s="1427"/>
      <c r="AA31" s="1427"/>
      <c r="AB31" s="1427"/>
      <c r="AC31" s="1425" t="s">
        <v>227</v>
      </c>
      <c r="AD31" s="1425"/>
      <c r="AE31" s="1426"/>
      <c r="AF31" s="1426"/>
      <c r="AG31" s="1426"/>
      <c r="AH31" s="1426"/>
      <c r="AI31" s="1426"/>
      <c r="AJ31" s="1426"/>
    </row>
    <row r="32" spans="1:36" ht="24.75" customHeight="1">
      <c r="A32" s="1427" t="s">
        <v>228</v>
      </c>
      <c r="B32" s="1427"/>
      <c r="C32" s="1427"/>
      <c r="D32" s="1427"/>
      <c r="E32" s="1427"/>
      <c r="F32" s="1427"/>
      <c r="G32" s="1427"/>
      <c r="H32" s="1427"/>
      <c r="I32" s="1427"/>
      <c r="J32" s="1427"/>
      <c r="K32" s="1427"/>
      <c r="L32" s="1427"/>
      <c r="M32" s="1427"/>
      <c r="N32" s="1427"/>
      <c r="O32" s="1427"/>
      <c r="P32" s="1427"/>
      <c r="Q32" s="1427"/>
      <c r="R32" s="1427"/>
      <c r="S32" s="1427"/>
      <c r="T32" s="1427"/>
      <c r="U32" s="1427"/>
      <c r="V32" s="1427"/>
      <c r="W32" s="1427"/>
      <c r="X32" s="1427"/>
      <c r="Y32" s="1427"/>
      <c r="Z32" s="1427"/>
      <c r="AA32" s="1427"/>
      <c r="AB32" s="1427"/>
      <c r="AC32" s="1425" t="s">
        <v>229</v>
      </c>
      <c r="AD32" s="1425"/>
      <c r="AE32" s="1426">
        <v>5851600</v>
      </c>
      <c r="AF32" s="1426"/>
      <c r="AG32" s="1426"/>
      <c r="AH32" s="1426"/>
      <c r="AI32" s="1426"/>
      <c r="AJ32" s="1426"/>
    </row>
    <row r="33" spans="1:38" ht="23.25" customHeight="1">
      <c r="A33" s="1427" t="s">
        <v>230</v>
      </c>
      <c r="B33" s="1427"/>
      <c r="C33" s="1427"/>
      <c r="D33" s="1427"/>
      <c r="E33" s="1427"/>
      <c r="F33" s="1427"/>
      <c r="G33" s="1427"/>
      <c r="H33" s="1427"/>
      <c r="I33" s="1427"/>
      <c r="J33" s="1427"/>
      <c r="K33" s="1427"/>
      <c r="L33" s="1427"/>
      <c r="M33" s="1427"/>
      <c r="N33" s="1427"/>
      <c r="O33" s="1427"/>
      <c r="P33" s="1427"/>
      <c r="Q33" s="1427"/>
      <c r="R33" s="1427"/>
      <c r="S33" s="1427"/>
      <c r="T33" s="1427"/>
      <c r="U33" s="1427"/>
      <c r="V33" s="1427"/>
      <c r="W33" s="1427"/>
      <c r="X33" s="1427"/>
      <c r="Y33" s="1427"/>
      <c r="Z33" s="1427"/>
      <c r="AA33" s="1427"/>
      <c r="AB33" s="1427"/>
      <c r="AC33" s="1425" t="s">
        <v>231</v>
      </c>
      <c r="AD33" s="1425"/>
      <c r="AE33" s="1426">
        <v>3523800</v>
      </c>
      <c r="AF33" s="1426"/>
      <c r="AG33" s="1426"/>
      <c r="AH33" s="1426"/>
      <c r="AI33" s="1426"/>
      <c r="AJ33" s="1426"/>
      <c r="AK33" s="67"/>
      <c r="AL33" s="67"/>
    </row>
    <row r="34" spans="1:36" ht="23.25" customHeight="1">
      <c r="A34" s="68"/>
      <c r="B34" s="69"/>
      <c r="C34" s="69"/>
      <c r="D34" s="69"/>
      <c r="E34" s="69"/>
      <c r="F34" s="69"/>
      <c r="G34" s="70"/>
      <c r="H34" s="70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</row>
    <row r="35" spans="1:36" ht="12.75" hidden="1">
      <c r="A35" s="73"/>
      <c r="B35" s="74"/>
      <c r="C35" s="74"/>
      <c r="D35" s="74"/>
      <c r="E35" s="74"/>
      <c r="F35" s="74"/>
      <c r="G35" s="75"/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</row>
    <row r="36" ht="12.75" hidden="1"/>
    <row r="37" spans="1:36" ht="60.75" customHeight="1">
      <c r="A37" s="1422" t="s">
        <v>232</v>
      </c>
      <c r="B37" s="1428"/>
      <c r="C37" s="1428"/>
      <c r="D37" s="1428"/>
      <c r="E37" s="1428"/>
      <c r="F37" s="1428"/>
      <c r="G37" s="1428"/>
      <c r="H37" s="1428"/>
      <c r="I37" s="1428"/>
      <c r="J37" s="1428"/>
      <c r="K37" s="1428"/>
      <c r="L37" s="1428"/>
      <c r="M37" s="1428"/>
      <c r="N37" s="1428"/>
      <c r="O37" s="1428"/>
      <c r="P37" s="1428"/>
      <c r="Q37" s="1428"/>
      <c r="R37" s="1428"/>
      <c r="S37" s="1428"/>
      <c r="T37" s="1428"/>
      <c r="U37" s="1428"/>
      <c r="V37" s="1428"/>
      <c r="W37" s="1428"/>
      <c r="X37" s="1428"/>
      <c r="Y37" s="1428"/>
      <c r="Z37" s="1428"/>
      <c r="AA37" s="1428"/>
      <c r="AB37" s="1428"/>
      <c r="AC37" s="1428"/>
      <c r="AD37" s="1428"/>
      <c r="AE37" s="1428"/>
      <c r="AF37" s="1428"/>
      <c r="AG37" s="1428"/>
      <c r="AH37" s="1428"/>
      <c r="AI37" s="1428"/>
      <c r="AJ37" s="1428"/>
    </row>
    <row r="39" spans="1:36" ht="24.75" customHeight="1">
      <c r="A39" s="1423" t="s">
        <v>233</v>
      </c>
      <c r="B39" s="1429"/>
      <c r="C39" s="1429"/>
      <c r="D39" s="1429"/>
      <c r="E39" s="1429"/>
      <c r="F39" s="1429"/>
      <c r="G39" s="1429"/>
      <c r="H39" s="1429"/>
      <c r="I39" s="1429"/>
      <c r="J39" s="1429"/>
      <c r="K39" s="1429"/>
      <c r="L39" s="1429"/>
      <c r="M39" s="1429"/>
      <c r="N39" s="1429"/>
      <c r="O39" s="1429"/>
      <c r="P39" s="1429"/>
      <c r="Q39" s="1429"/>
      <c r="R39" s="1429"/>
      <c r="S39" s="1429"/>
      <c r="T39" s="1429"/>
      <c r="U39" s="1429"/>
      <c r="V39" s="1429"/>
      <c r="W39" s="1429"/>
      <c r="X39" s="1429"/>
      <c r="Y39" s="1429"/>
      <c r="Z39" s="1429"/>
      <c r="AA39" s="1429"/>
      <c r="AB39" s="1429"/>
      <c r="AC39" s="1423" t="s">
        <v>234</v>
      </c>
      <c r="AD39" s="1429"/>
      <c r="AE39" s="1429"/>
      <c r="AF39" s="1423" t="s">
        <v>235</v>
      </c>
      <c r="AG39" s="1429"/>
      <c r="AH39" s="1429"/>
      <c r="AI39" s="1429"/>
      <c r="AJ39" s="1429"/>
    </row>
    <row r="40" spans="1:36" ht="21" customHeight="1">
      <c r="A40" s="1427" t="s">
        <v>236</v>
      </c>
      <c r="B40" s="1430"/>
      <c r="C40" s="1430"/>
      <c r="D40" s="1430"/>
      <c r="E40" s="1430"/>
      <c r="F40" s="1430"/>
      <c r="G40" s="1430"/>
      <c r="H40" s="1430"/>
      <c r="I40" s="1430"/>
      <c r="J40" s="1430"/>
      <c r="K40" s="1430"/>
      <c r="L40" s="1430"/>
      <c r="M40" s="1430"/>
      <c r="N40" s="1430"/>
      <c r="O40" s="1430"/>
      <c r="P40" s="1430"/>
      <c r="Q40" s="1430"/>
      <c r="R40" s="1430"/>
      <c r="S40" s="1430"/>
      <c r="T40" s="1430"/>
      <c r="U40" s="1430"/>
      <c r="V40" s="1430"/>
      <c r="W40" s="1430"/>
      <c r="X40" s="1430"/>
      <c r="Y40" s="1430"/>
      <c r="Z40" s="1430"/>
      <c r="AA40" s="1430"/>
      <c r="AB40" s="1430"/>
      <c r="AC40" s="1429">
        <v>250</v>
      </c>
      <c r="AD40" s="1429"/>
      <c r="AE40" s="1429"/>
      <c r="AF40" s="1431" t="s">
        <v>348</v>
      </c>
      <c r="AG40" s="1431"/>
      <c r="AH40" s="1431"/>
      <c r="AI40" s="1431"/>
      <c r="AJ40" s="1431"/>
    </row>
    <row r="41" spans="1:36" ht="24" customHeight="1">
      <c r="A41" s="1427" t="s">
        <v>237</v>
      </c>
      <c r="B41" s="1430"/>
      <c r="C41" s="1430"/>
      <c r="D41" s="1430"/>
      <c r="E41" s="1430"/>
      <c r="F41" s="1430"/>
      <c r="G41" s="1430"/>
      <c r="H41" s="1430"/>
      <c r="I41" s="1430"/>
      <c r="J41" s="1430"/>
      <c r="K41" s="1430"/>
      <c r="L41" s="1430"/>
      <c r="M41" s="1430"/>
      <c r="N41" s="1430"/>
      <c r="O41" s="1430"/>
      <c r="P41" s="1430"/>
      <c r="Q41" s="1430"/>
      <c r="R41" s="1430"/>
      <c r="S41" s="1430"/>
      <c r="T41" s="1430"/>
      <c r="U41" s="1430"/>
      <c r="V41" s="1430"/>
      <c r="W41" s="1430"/>
      <c r="X41" s="1430"/>
      <c r="Y41" s="1430"/>
      <c r="Z41" s="1430"/>
      <c r="AA41" s="1430"/>
      <c r="AB41" s="1430"/>
      <c r="AC41" s="1429">
        <v>260</v>
      </c>
      <c r="AD41" s="1429"/>
      <c r="AE41" s="1429"/>
      <c r="AF41" s="1431" t="s">
        <v>348</v>
      </c>
      <c r="AG41" s="1431"/>
      <c r="AH41" s="1431"/>
      <c r="AI41" s="1431"/>
      <c r="AJ41" s="1431"/>
    </row>
    <row r="42" spans="1:36" ht="21.75" customHeight="1">
      <c r="A42" s="1427" t="s">
        <v>238</v>
      </c>
      <c r="B42" s="1430"/>
      <c r="C42" s="1430"/>
      <c r="D42" s="1430"/>
      <c r="E42" s="1430"/>
      <c r="F42" s="1430"/>
      <c r="G42" s="1430"/>
      <c r="H42" s="1430"/>
      <c r="I42" s="1430"/>
      <c r="J42" s="1430"/>
      <c r="K42" s="1430"/>
      <c r="L42" s="1430"/>
      <c r="M42" s="1430"/>
      <c r="N42" s="1430"/>
      <c r="O42" s="1430"/>
      <c r="P42" s="1430"/>
      <c r="Q42" s="1430"/>
      <c r="R42" s="1430"/>
      <c r="S42" s="1430"/>
      <c r="T42" s="1430"/>
      <c r="U42" s="1430"/>
      <c r="V42" s="1430"/>
      <c r="W42" s="1430"/>
      <c r="X42" s="1430"/>
      <c r="Y42" s="1430"/>
      <c r="Z42" s="1430"/>
      <c r="AA42" s="1430"/>
      <c r="AB42" s="1430"/>
      <c r="AC42" s="1429">
        <v>261</v>
      </c>
      <c r="AD42" s="1429"/>
      <c r="AE42" s="1429"/>
      <c r="AF42" s="1431" t="s">
        <v>348</v>
      </c>
      <c r="AG42" s="1431"/>
      <c r="AH42" s="1431"/>
      <c r="AI42" s="1431"/>
      <c r="AJ42" s="1431"/>
    </row>
    <row r="43" spans="1:36" ht="21.75" customHeight="1">
      <c r="A43" s="1427" t="s">
        <v>239</v>
      </c>
      <c r="B43" s="1430"/>
      <c r="C43" s="1430"/>
      <c r="D43" s="1430"/>
      <c r="E43" s="1430"/>
      <c r="F43" s="1430"/>
      <c r="G43" s="1430"/>
      <c r="H43" s="1430"/>
      <c r="I43" s="1430"/>
      <c r="J43" s="1430"/>
      <c r="K43" s="1430"/>
      <c r="L43" s="1430"/>
      <c r="M43" s="1430"/>
      <c r="N43" s="1430"/>
      <c r="O43" s="1430"/>
      <c r="P43" s="1430"/>
      <c r="Q43" s="1430"/>
      <c r="R43" s="1430"/>
      <c r="S43" s="1430"/>
      <c r="T43" s="1430"/>
      <c r="U43" s="1430"/>
      <c r="V43" s="1430"/>
      <c r="W43" s="1430"/>
      <c r="X43" s="1430"/>
      <c r="Y43" s="1430"/>
      <c r="Z43" s="1430"/>
      <c r="AA43" s="1430"/>
      <c r="AB43" s="1430"/>
      <c r="AC43" s="1429">
        <v>262</v>
      </c>
      <c r="AD43" s="1429"/>
      <c r="AE43" s="1429"/>
      <c r="AF43" s="1431" t="s">
        <v>348</v>
      </c>
      <c r="AG43" s="1431"/>
      <c r="AH43" s="1431"/>
      <c r="AI43" s="1431"/>
      <c r="AJ43" s="1431"/>
    </row>
    <row r="44" spans="1:36" ht="22.5" customHeight="1">
      <c r="A44" s="1427" t="s">
        <v>240</v>
      </c>
      <c r="B44" s="1430"/>
      <c r="C44" s="1430"/>
      <c r="D44" s="1430"/>
      <c r="E44" s="1430"/>
      <c r="F44" s="1430"/>
      <c r="G44" s="1430"/>
      <c r="H44" s="1430"/>
      <c r="I44" s="1430"/>
      <c r="J44" s="1430"/>
      <c r="K44" s="1430"/>
      <c r="L44" s="1430"/>
      <c r="M44" s="1430"/>
      <c r="N44" s="1430"/>
      <c r="O44" s="1430"/>
      <c r="P44" s="1430"/>
      <c r="Q44" s="1430"/>
      <c r="R44" s="1430"/>
      <c r="S44" s="1430"/>
      <c r="T44" s="1430"/>
      <c r="U44" s="1430"/>
      <c r="V44" s="1430"/>
      <c r="W44" s="1430"/>
      <c r="X44" s="1430"/>
      <c r="Y44" s="1430"/>
      <c r="Z44" s="1430"/>
      <c r="AA44" s="1430"/>
      <c r="AB44" s="1430"/>
      <c r="AC44" s="1429">
        <v>263</v>
      </c>
      <c r="AD44" s="1429"/>
      <c r="AE44" s="1429"/>
      <c r="AF44" s="1431" t="s">
        <v>348</v>
      </c>
      <c r="AG44" s="1431"/>
      <c r="AH44" s="1431"/>
      <c r="AI44" s="1431"/>
      <c r="AJ44" s="1431"/>
    </row>
    <row r="45" spans="1:36" ht="21" customHeight="1">
      <c r="A45" s="1427" t="s">
        <v>241</v>
      </c>
      <c r="B45" s="1430"/>
      <c r="C45" s="1430"/>
      <c r="D45" s="1430"/>
      <c r="E45" s="1430"/>
      <c r="F45" s="1430"/>
      <c r="G45" s="1430"/>
      <c r="H45" s="1430"/>
      <c r="I45" s="1430"/>
      <c r="J45" s="1430"/>
      <c r="K45" s="1430"/>
      <c r="L45" s="1430"/>
      <c r="M45" s="1430"/>
      <c r="N45" s="1430"/>
      <c r="O45" s="1430"/>
      <c r="P45" s="1430"/>
      <c r="Q45" s="1430"/>
      <c r="R45" s="1430"/>
      <c r="S45" s="1430"/>
      <c r="T45" s="1430"/>
      <c r="U45" s="1430"/>
      <c r="V45" s="1430"/>
      <c r="W45" s="1430"/>
      <c r="X45" s="1430"/>
      <c r="Y45" s="1430"/>
      <c r="Z45" s="1430"/>
      <c r="AA45" s="1430"/>
      <c r="AB45" s="1430"/>
      <c r="AC45" s="1429">
        <v>264</v>
      </c>
      <c r="AD45" s="1429"/>
      <c r="AE45" s="1429"/>
      <c r="AF45" s="1431" t="s">
        <v>348</v>
      </c>
      <c r="AG45" s="1431"/>
      <c r="AH45" s="1431"/>
      <c r="AI45" s="1431"/>
      <c r="AJ45" s="1431"/>
    </row>
    <row r="46" spans="1:37" ht="22.5" customHeight="1">
      <c r="A46" s="1427" t="s">
        <v>242</v>
      </c>
      <c r="B46" s="1430"/>
      <c r="C46" s="1430"/>
      <c r="D46" s="1430"/>
      <c r="E46" s="1430"/>
      <c r="F46" s="1430"/>
      <c r="G46" s="1430"/>
      <c r="H46" s="1430"/>
      <c r="I46" s="1430"/>
      <c r="J46" s="1430"/>
      <c r="K46" s="1430"/>
      <c r="L46" s="1430"/>
      <c r="M46" s="1430"/>
      <c r="N46" s="1430"/>
      <c r="O46" s="1430"/>
      <c r="P46" s="1430"/>
      <c r="Q46" s="1430"/>
      <c r="R46" s="1430"/>
      <c r="S46" s="1430"/>
      <c r="T46" s="1430"/>
      <c r="U46" s="1430"/>
      <c r="V46" s="1430"/>
      <c r="W46" s="1430"/>
      <c r="X46" s="1430"/>
      <c r="Y46" s="1430"/>
      <c r="Z46" s="1430"/>
      <c r="AA46" s="1430"/>
      <c r="AB46" s="1430"/>
      <c r="AC46" s="1429">
        <v>270</v>
      </c>
      <c r="AD46" s="1429"/>
      <c r="AE46" s="1429"/>
      <c r="AF46" s="1431" t="s">
        <v>348</v>
      </c>
      <c r="AG46" s="1431"/>
      <c r="AH46" s="1431"/>
      <c r="AI46" s="1431"/>
      <c r="AJ46" s="1431"/>
      <c r="AK46" s="108"/>
    </row>
    <row r="47" spans="1:37" ht="21.75" customHeight="1">
      <c r="A47" s="1427" t="s">
        <v>243</v>
      </c>
      <c r="B47" s="1430"/>
      <c r="C47" s="1430"/>
      <c r="D47" s="1430"/>
      <c r="E47" s="1430"/>
      <c r="F47" s="1430"/>
      <c r="G47" s="1430"/>
      <c r="H47" s="1430"/>
      <c r="I47" s="1430"/>
      <c r="J47" s="1430"/>
      <c r="K47" s="1430"/>
      <c r="L47" s="1430"/>
      <c r="M47" s="1430"/>
      <c r="N47" s="1430"/>
      <c r="O47" s="1430"/>
      <c r="P47" s="1430"/>
      <c r="Q47" s="1430"/>
      <c r="R47" s="1430"/>
      <c r="S47" s="1430"/>
      <c r="T47" s="1430"/>
      <c r="U47" s="1430"/>
      <c r="V47" s="1430"/>
      <c r="W47" s="1430"/>
      <c r="X47" s="1430"/>
      <c r="Y47" s="1430"/>
      <c r="Z47" s="1430"/>
      <c r="AA47" s="1430"/>
      <c r="AB47" s="1430"/>
      <c r="AC47" s="1429">
        <v>271</v>
      </c>
      <c r="AD47" s="1429"/>
      <c r="AE47" s="1429"/>
      <c r="AF47" s="1431" t="s">
        <v>348</v>
      </c>
      <c r="AG47" s="1431"/>
      <c r="AH47" s="1431"/>
      <c r="AI47" s="1431"/>
      <c r="AJ47" s="1431"/>
      <c r="AK47" s="108"/>
    </row>
    <row r="48" spans="1:36" ht="22.5" customHeight="1">
      <c r="A48" s="1427" t="s">
        <v>244</v>
      </c>
      <c r="B48" s="1430"/>
      <c r="C48" s="1430"/>
      <c r="D48" s="1430"/>
      <c r="E48" s="1430"/>
      <c r="F48" s="1430"/>
      <c r="G48" s="1430"/>
      <c r="H48" s="1430"/>
      <c r="I48" s="1430"/>
      <c r="J48" s="1430"/>
      <c r="K48" s="1430"/>
      <c r="L48" s="1430"/>
      <c r="M48" s="1430"/>
      <c r="N48" s="1430"/>
      <c r="O48" s="1430"/>
      <c r="P48" s="1430"/>
      <c r="Q48" s="1430"/>
      <c r="R48" s="1430"/>
      <c r="S48" s="1430"/>
      <c r="T48" s="1430"/>
      <c r="U48" s="1430"/>
      <c r="V48" s="1430"/>
      <c r="W48" s="1430"/>
      <c r="X48" s="1430"/>
      <c r="Y48" s="1430"/>
      <c r="Z48" s="1430"/>
      <c r="AA48" s="1430"/>
      <c r="AB48" s="1430"/>
      <c r="AC48" s="1429">
        <v>272</v>
      </c>
      <c r="AD48" s="1429"/>
      <c r="AE48" s="1429"/>
      <c r="AF48" s="1431" t="s">
        <v>348</v>
      </c>
      <c r="AG48" s="1431"/>
      <c r="AH48" s="1431"/>
      <c r="AI48" s="1431"/>
      <c r="AJ48" s="1431"/>
    </row>
    <row r="49" spans="1:37" ht="21.75" customHeight="1">
      <c r="A49" s="1427" t="s">
        <v>245</v>
      </c>
      <c r="B49" s="1430"/>
      <c r="C49" s="1430"/>
      <c r="D49" s="1430"/>
      <c r="E49" s="1430"/>
      <c r="F49" s="1430"/>
      <c r="G49" s="1430"/>
      <c r="H49" s="1430"/>
      <c r="I49" s="1430"/>
      <c r="J49" s="1430"/>
      <c r="K49" s="1430"/>
      <c r="L49" s="1430"/>
      <c r="M49" s="1430"/>
      <c r="N49" s="1430"/>
      <c r="O49" s="1430"/>
      <c r="P49" s="1430"/>
      <c r="Q49" s="1430"/>
      <c r="R49" s="1430"/>
      <c r="S49" s="1430"/>
      <c r="T49" s="1430"/>
      <c r="U49" s="1430"/>
      <c r="V49" s="1430"/>
      <c r="W49" s="1430"/>
      <c r="X49" s="1430"/>
      <c r="Y49" s="1430"/>
      <c r="Z49" s="1430"/>
      <c r="AA49" s="1430"/>
      <c r="AB49" s="1430"/>
      <c r="AC49" s="1429">
        <v>273</v>
      </c>
      <c r="AD49" s="1429"/>
      <c r="AE49" s="1429"/>
      <c r="AF49" s="1431" t="s">
        <v>348</v>
      </c>
      <c r="AG49" s="1431"/>
      <c r="AH49" s="1431"/>
      <c r="AI49" s="1431"/>
      <c r="AJ49" s="1431"/>
      <c r="AK49" s="108"/>
    </row>
    <row r="50" spans="1:37" ht="42.75" customHeight="1">
      <c r="A50" s="1427" t="s">
        <v>246</v>
      </c>
      <c r="B50" s="1430"/>
      <c r="C50" s="1430"/>
      <c r="D50" s="1430"/>
      <c r="E50" s="1430"/>
      <c r="F50" s="1430"/>
      <c r="G50" s="1430"/>
      <c r="H50" s="1430"/>
      <c r="I50" s="1430"/>
      <c r="J50" s="1430"/>
      <c r="K50" s="1430"/>
      <c r="L50" s="1430"/>
      <c r="M50" s="1430"/>
      <c r="N50" s="1430"/>
      <c r="O50" s="1430"/>
      <c r="P50" s="1430"/>
      <c r="Q50" s="1430"/>
      <c r="R50" s="1430"/>
      <c r="S50" s="1430"/>
      <c r="T50" s="1430"/>
      <c r="U50" s="1430"/>
      <c r="V50" s="1430"/>
      <c r="W50" s="1430"/>
      <c r="X50" s="1430"/>
      <c r="Y50" s="1430"/>
      <c r="Z50" s="1430"/>
      <c r="AA50" s="1430"/>
      <c r="AB50" s="1430"/>
      <c r="AC50" s="1429">
        <v>280</v>
      </c>
      <c r="AD50" s="1429"/>
      <c r="AE50" s="1429"/>
      <c r="AF50" s="1431" t="s">
        <v>348</v>
      </c>
      <c r="AG50" s="1431"/>
      <c r="AH50" s="1431"/>
      <c r="AI50" s="1431"/>
      <c r="AJ50" s="1431"/>
      <c r="AK50" s="108"/>
    </row>
    <row r="51" spans="1:36" ht="24" customHeight="1">
      <c r="A51" s="1427" t="s">
        <v>247</v>
      </c>
      <c r="B51" s="1430"/>
      <c r="C51" s="1430"/>
      <c r="D51" s="1430"/>
      <c r="E51" s="1430"/>
      <c r="F51" s="1430"/>
      <c r="G51" s="1430"/>
      <c r="H51" s="1430"/>
      <c r="I51" s="1430"/>
      <c r="J51" s="1430"/>
      <c r="K51" s="1430"/>
      <c r="L51" s="1430"/>
      <c r="M51" s="1430"/>
      <c r="N51" s="1430"/>
      <c r="O51" s="1430"/>
      <c r="P51" s="1430"/>
      <c r="Q51" s="1430"/>
      <c r="R51" s="1430"/>
      <c r="S51" s="1430"/>
      <c r="T51" s="1430"/>
      <c r="U51" s="1430"/>
      <c r="V51" s="1430"/>
      <c r="W51" s="1430"/>
      <c r="X51" s="1430"/>
      <c r="Y51" s="1430"/>
      <c r="Z51" s="1430"/>
      <c r="AA51" s="1430"/>
      <c r="AB51" s="1430"/>
      <c r="AC51" s="1429">
        <v>290</v>
      </c>
      <c r="AD51" s="1429"/>
      <c r="AE51" s="1429"/>
      <c r="AF51" s="1431" t="s">
        <v>348</v>
      </c>
      <c r="AG51" s="1431"/>
      <c r="AH51" s="1431"/>
      <c r="AI51" s="1431"/>
      <c r="AJ51" s="1431"/>
    </row>
    <row r="55" spans="1:28" ht="23.25" customHeight="1">
      <c r="A55" s="1432" t="s">
        <v>248</v>
      </c>
      <c r="B55" s="1432"/>
      <c r="C55" s="1432"/>
      <c r="D55" s="1432"/>
      <c r="E55" s="78"/>
      <c r="F55" s="78"/>
      <c r="G55" s="78"/>
      <c r="H55" s="78"/>
      <c r="I55" s="78"/>
      <c r="J55" s="78"/>
      <c r="K55" s="78"/>
      <c r="L55" s="78"/>
      <c r="M55" s="1433" t="s">
        <v>684</v>
      </c>
      <c r="N55" s="1433"/>
      <c r="O55" s="1433"/>
      <c r="P55" s="1433"/>
      <c r="Q55" s="1433"/>
      <c r="R55" s="1433"/>
      <c r="S55" s="1433"/>
      <c r="T55" s="1433"/>
      <c r="U55" s="1433"/>
      <c r="V55" s="1433"/>
      <c r="W55" s="1433"/>
      <c r="X55" s="1433"/>
      <c r="Y55" s="1433"/>
      <c r="Z55" s="1433"/>
      <c r="AA55" s="1433"/>
      <c r="AB55" s="1433"/>
    </row>
    <row r="57" spans="1:28" ht="32.25" customHeight="1">
      <c r="A57" s="1432" t="s">
        <v>1461</v>
      </c>
      <c r="B57" s="1432"/>
      <c r="C57" s="1432"/>
      <c r="D57" s="1432"/>
      <c r="E57" s="78"/>
      <c r="F57" s="78"/>
      <c r="G57" s="78"/>
      <c r="H57" s="78"/>
      <c r="I57" s="78"/>
      <c r="J57" s="78"/>
      <c r="K57" s="78"/>
      <c r="L57" s="78"/>
      <c r="M57" s="1433" t="s">
        <v>1448</v>
      </c>
      <c r="N57" s="1433"/>
      <c r="O57" s="1433"/>
      <c r="P57" s="1433"/>
      <c r="Q57" s="1433"/>
      <c r="R57" s="1433"/>
      <c r="S57" s="1433"/>
      <c r="T57" s="1433"/>
      <c r="U57" s="1433"/>
      <c r="V57" s="1433"/>
      <c r="W57" s="1433"/>
      <c r="X57" s="1433"/>
      <c r="Y57" s="1433"/>
      <c r="Z57" s="1433"/>
      <c r="AA57" s="1433"/>
      <c r="AB57" s="1433"/>
    </row>
  </sheetData>
  <sheetProtection/>
  <mergeCells count="169">
    <mergeCell ref="A55:D55"/>
    <mergeCell ref="A57:D57"/>
    <mergeCell ref="A50:AB50"/>
    <mergeCell ref="AC50:AE50"/>
    <mergeCell ref="AF50:AJ50"/>
    <mergeCell ref="A51:AB51"/>
    <mergeCell ref="AC51:AE51"/>
    <mergeCell ref="AF51:AJ51"/>
    <mergeCell ref="M55:AB55"/>
    <mergeCell ref="M57:AB57"/>
    <mergeCell ref="A48:AB48"/>
    <mergeCell ref="AC48:AE48"/>
    <mergeCell ref="AF48:AJ48"/>
    <mergeCell ref="A49:AB49"/>
    <mergeCell ref="AC49:AE49"/>
    <mergeCell ref="AF49:AJ49"/>
    <mergeCell ref="A46:AB46"/>
    <mergeCell ref="AC46:AE46"/>
    <mergeCell ref="AF46:AJ46"/>
    <mergeCell ref="A47:AB47"/>
    <mergeCell ref="AC47:AE47"/>
    <mergeCell ref="AF47:AJ47"/>
    <mergeCell ref="A44:AB44"/>
    <mergeCell ref="AC44:AE44"/>
    <mergeCell ref="AF44:AJ44"/>
    <mergeCell ref="A45:AB45"/>
    <mergeCell ref="AC45:AE45"/>
    <mergeCell ref="AF45:AJ45"/>
    <mergeCell ref="A42:AB42"/>
    <mergeCell ref="AC42:AE42"/>
    <mergeCell ref="AF42:AJ42"/>
    <mergeCell ref="A43:AB43"/>
    <mergeCell ref="AC43:AE43"/>
    <mergeCell ref="AF43:AJ43"/>
    <mergeCell ref="A40:AB40"/>
    <mergeCell ref="AC40:AE40"/>
    <mergeCell ref="AF40:AJ40"/>
    <mergeCell ref="A41:AB41"/>
    <mergeCell ref="AC41:AE41"/>
    <mergeCell ref="AF41:AJ41"/>
    <mergeCell ref="A33:AB33"/>
    <mergeCell ref="AC33:AD33"/>
    <mergeCell ref="AE33:AG33"/>
    <mergeCell ref="AH33:AJ33"/>
    <mergeCell ref="A37:AJ37"/>
    <mergeCell ref="A39:AB39"/>
    <mergeCell ref="AC39:AE39"/>
    <mergeCell ref="AF39:AJ39"/>
    <mergeCell ref="A31:AB31"/>
    <mergeCell ref="AC31:AD31"/>
    <mergeCell ref="AE31:AG31"/>
    <mergeCell ref="AH31:AJ31"/>
    <mergeCell ref="A32:AB32"/>
    <mergeCell ref="AC32:AD32"/>
    <mergeCell ref="AE32:AG32"/>
    <mergeCell ref="AH32:AJ32"/>
    <mergeCell ref="A29:AB29"/>
    <mergeCell ref="AC29:AD29"/>
    <mergeCell ref="AE29:AG29"/>
    <mergeCell ref="AH29:AJ29"/>
    <mergeCell ref="A30:AB30"/>
    <mergeCell ref="AC30:AD30"/>
    <mergeCell ref="AE30:AG30"/>
    <mergeCell ref="AH30:AJ30"/>
    <mergeCell ref="A27:AB27"/>
    <mergeCell ref="AC27:AD27"/>
    <mergeCell ref="AE27:AG27"/>
    <mergeCell ref="AH27:AJ27"/>
    <mergeCell ref="A28:AB28"/>
    <mergeCell ref="AC28:AD28"/>
    <mergeCell ref="AE28:AG28"/>
    <mergeCell ref="AH28:AJ28"/>
    <mergeCell ref="A25:AB25"/>
    <mergeCell ref="AC25:AD25"/>
    <mergeCell ref="AE25:AG25"/>
    <mergeCell ref="AH25:AJ25"/>
    <mergeCell ref="A26:AB26"/>
    <mergeCell ref="AC26:AD26"/>
    <mergeCell ref="AE26:AG26"/>
    <mergeCell ref="AH26:AJ26"/>
    <mergeCell ref="A23:AB23"/>
    <mergeCell ref="AC23:AD23"/>
    <mergeCell ref="AE23:AG23"/>
    <mergeCell ref="AH23:AJ23"/>
    <mergeCell ref="A24:AB24"/>
    <mergeCell ref="AC24:AD24"/>
    <mergeCell ref="AE24:AG24"/>
    <mergeCell ref="AH24:AJ24"/>
    <mergeCell ref="A21:AB21"/>
    <mergeCell ref="AC21:AD21"/>
    <mergeCell ref="AE21:AG21"/>
    <mergeCell ref="AH21:AJ21"/>
    <mergeCell ref="A22:AB22"/>
    <mergeCell ref="AC22:AD22"/>
    <mergeCell ref="AE22:AG22"/>
    <mergeCell ref="AH22:AJ22"/>
    <mergeCell ref="A19:AB19"/>
    <mergeCell ref="AC19:AD19"/>
    <mergeCell ref="AE19:AG19"/>
    <mergeCell ref="AH19:AJ19"/>
    <mergeCell ref="A20:AB20"/>
    <mergeCell ref="AC20:AD20"/>
    <mergeCell ref="AE20:AG20"/>
    <mergeCell ref="AH20:AJ20"/>
    <mergeCell ref="A17:AB17"/>
    <mergeCell ref="AC17:AD17"/>
    <mergeCell ref="AE17:AG17"/>
    <mergeCell ref="AH17:AJ17"/>
    <mergeCell ref="A18:AB18"/>
    <mergeCell ref="AC18:AD18"/>
    <mergeCell ref="AE18:AG18"/>
    <mergeCell ref="AH18:AJ18"/>
    <mergeCell ref="A15:AB15"/>
    <mergeCell ref="AC15:AD15"/>
    <mergeCell ref="AE15:AG15"/>
    <mergeCell ref="AH15:AJ15"/>
    <mergeCell ref="A16:AB16"/>
    <mergeCell ref="AC16:AD16"/>
    <mergeCell ref="AE16:AG16"/>
    <mergeCell ref="AH16:AJ16"/>
    <mergeCell ref="A13:AB13"/>
    <mergeCell ref="AC13:AD13"/>
    <mergeCell ref="AE13:AG13"/>
    <mergeCell ref="AH13:AJ13"/>
    <mergeCell ref="A14:AB14"/>
    <mergeCell ref="AC14:AD14"/>
    <mergeCell ref="AE14:AG14"/>
    <mergeCell ref="AH14:AJ14"/>
    <mergeCell ref="A11:AB11"/>
    <mergeCell ref="AC11:AD11"/>
    <mergeCell ref="AE11:AG11"/>
    <mergeCell ref="AH11:AJ11"/>
    <mergeCell ref="A12:AB12"/>
    <mergeCell ref="AC12:AD12"/>
    <mergeCell ref="AE12:AG12"/>
    <mergeCell ref="AH12:AJ12"/>
    <mergeCell ref="A9:AB9"/>
    <mergeCell ref="AC9:AD9"/>
    <mergeCell ref="AE9:AG9"/>
    <mergeCell ref="AH9:AJ9"/>
    <mergeCell ref="A10:AB10"/>
    <mergeCell ref="AC10:AD10"/>
    <mergeCell ref="AE10:AG10"/>
    <mergeCell ref="AH10:AJ10"/>
    <mergeCell ref="A7:AB7"/>
    <mergeCell ref="AC7:AD7"/>
    <mergeCell ref="AE7:AG7"/>
    <mergeCell ref="AH7:AJ7"/>
    <mergeCell ref="A8:AB8"/>
    <mergeCell ref="AC8:AD8"/>
    <mergeCell ref="AE8:AG8"/>
    <mergeCell ref="AH8:AJ8"/>
    <mergeCell ref="A5:AB5"/>
    <mergeCell ref="AC5:AD5"/>
    <mergeCell ref="AE5:AG5"/>
    <mergeCell ref="AH5:AJ5"/>
    <mergeCell ref="A6:AB6"/>
    <mergeCell ref="AC6:AD6"/>
    <mergeCell ref="AE6:AG6"/>
    <mergeCell ref="AH6:AJ6"/>
    <mergeCell ref="A1:AJ1"/>
    <mergeCell ref="A3:AB3"/>
    <mergeCell ref="AC3:AD3"/>
    <mergeCell ref="AE3:AG3"/>
    <mergeCell ref="AH3:AJ3"/>
    <mergeCell ref="A4:AB4"/>
    <mergeCell ref="AC4:AD4"/>
    <mergeCell ref="AE4:AG4"/>
    <mergeCell ref="AH4:AJ4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L84"/>
  <sheetViews>
    <sheetView zoomScaleSheetLayoutView="80" zoomScalePageLayoutView="0" workbookViewId="0" topLeftCell="A1">
      <pane xSplit="2" ySplit="4" topLeftCell="C14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H58" sqref="H58"/>
    </sheetView>
  </sheetViews>
  <sheetFormatPr defaultColWidth="9.00390625" defaultRowHeight="12.75"/>
  <cols>
    <col min="1" max="1" width="7.25390625" style="4" bestFit="1" customWidth="1"/>
    <col min="2" max="2" width="66.375" style="5" customWidth="1"/>
    <col min="3" max="4" width="14.00390625" style="5" customWidth="1"/>
    <col min="5" max="5" width="13.75390625" style="5" customWidth="1"/>
    <col min="6" max="6" width="14.75390625" style="5" customWidth="1"/>
    <col min="7" max="7" width="14.25390625" style="5" customWidth="1"/>
    <col min="8" max="8" width="15.00390625" style="5" customWidth="1"/>
    <col min="9" max="9" width="18.375" style="5" customWidth="1"/>
    <col min="10" max="10" width="11.375" style="5" bestFit="1" customWidth="1"/>
    <col min="11" max="11" width="11.00390625" style="5" bestFit="1" customWidth="1"/>
    <col min="12" max="12" width="13.375" style="5" customWidth="1"/>
    <col min="13" max="16384" width="9.125" style="5" customWidth="1"/>
  </cols>
  <sheetData>
    <row r="1" spans="1:8" ht="18.75" customHeight="1">
      <c r="A1" s="1439" t="s">
        <v>1284</v>
      </c>
      <c r="B1" s="1439"/>
      <c r="C1" s="1439"/>
      <c r="D1" s="1439"/>
      <c r="E1" s="1439"/>
      <c r="F1" s="1439"/>
      <c r="G1" s="1439"/>
      <c r="H1" s="1439"/>
    </row>
    <row r="2" spans="1:9" ht="15.75" customHeight="1" thickBot="1">
      <c r="A2" s="1439"/>
      <c r="B2" s="1439"/>
      <c r="C2" s="1439"/>
      <c r="D2" s="1439"/>
      <c r="E2" s="1439"/>
      <c r="F2" s="1439"/>
      <c r="G2" s="1439"/>
      <c r="H2" s="1439"/>
      <c r="I2" s="840" t="s">
        <v>250</v>
      </c>
    </row>
    <row r="3" spans="1:9" s="6" customFormat="1" ht="24" customHeight="1">
      <c r="A3" s="1440" t="s">
        <v>249</v>
      </c>
      <c r="B3" s="1434" t="s">
        <v>251</v>
      </c>
      <c r="C3" s="1434" t="s">
        <v>470</v>
      </c>
      <c r="D3" s="1434" t="s">
        <v>1133</v>
      </c>
      <c r="E3" s="1344" t="s">
        <v>1134</v>
      </c>
      <c r="F3" s="1436" t="s">
        <v>692</v>
      </c>
      <c r="G3" s="1437"/>
      <c r="H3" s="1437"/>
      <c r="I3" s="1438"/>
    </row>
    <row r="4" spans="1:9" s="6" customFormat="1" ht="23.25" customHeight="1" thickBot="1">
      <c r="A4" s="1441"/>
      <c r="B4" s="1435"/>
      <c r="C4" s="1435"/>
      <c r="D4" s="1435"/>
      <c r="E4" s="1345"/>
      <c r="F4" s="652" t="s">
        <v>282</v>
      </c>
      <c r="G4" s="652" t="s">
        <v>283</v>
      </c>
      <c r="H4" s="652" t="s">
        <v>284</v>
      </c>
      <c r="I4" s="654" t="s">
        <v>285</v>
      </c>
    </row>
    <row r="5" spans="1:10" s="6" customFormat="1" ht="20.25" customHeight="1">
      <c r="A5" s="653" t="s">
        <v>257</v>
      </c>
      <c r="B5" s="275" t="s">
        <v>253</v>
      </c>
      <c r="C5" s="911">
        <f aca="true" t="shared" si="0" ref="C5:I5">C6+C9+C10+C11</f>
        <v>31107758.518736</v>
      </c>
      <c r="D5" s="911">
        <f t="shared" si="0"/>
        <v>40404543</v>
      </c>
      <c r="E5" s="911">
        <f t="shared" si="0"/>
        <v>48246655</v>
      </c>
      <c r="F5" s="911">
        <f t="shared" si="0"/>
        <v>12048645</v>
      </c>
      <c r="G5" s="911">
        <f t="shared" si="0"/>
        <v>11867962</v>
      </c>
      <c r="H5" s="911">
        <f t="shared" si="0"/>
        <v>11549200</v>
      </c>
      <c r="I5" s="911">
        <f t="shared" si="0"/>
        <v>12780848</v>
      </c>
      <c r="J5" s="783">
        <f>E5-F5-G5-H5-I5</f>
        <v>0</v>
      </c>
    </row>
    <row r="6" spans="1:10" ht="20.25" customHeight="1">
      <c r="A6" s="648" t="s">
        <v>265</v>
      </c>
      <c r="B6" s="7" t="s">
        <v>275</v>
      </c>
      <c r="C6" s="180">
        <f>C7</f>
        <v>18259217.34016</v>
      </c>
      <c r="D6" s="180">
        <f>D7</f>
        <v>24966222</v>
      </c>
      <c r="E6" s="180">
        <v>28964777</v>
      </c>
      <c r="F6" s="180">
        <f>F7</f>
        <v>7232697</v>
      </c>
      <c r="G6" s="180">
        <f>G7</f>
        <v>7123950</v>
      </c>
      <c r="H6" s="180">
        <f>H7</f>
        <v>6932102</v>
      </c>
      <c r="I6" s="912">
        <f>I7</f>
        <v>7676028</v>
      </c>
      <c r="J6" s="783">
        <f aca="true" t="shared" si="1" ref="J6:J39">E6-F6-G6-H6-I6</f>
        <v>0</v>
      </c>
    </row>
    <row r="7" spans="1:10" s="28" customFormat="1" ht="20.25" customHeight="1">
      <c r="A7" s="649" t="s">
        <v>277</v>
      </c>
      <c r="B7" s="7" t="s">
        <v>252</v>
      </c>
      <c r="C7" s="180">
        <v>18259217.34016</v>
      </c>
      <c r="D7" s="180">
        <v>24966222</v>
      </c>
      <c r="E7" s="180">
        <v>28964777</v>
      </c>
      <c r="F7" s="180">
        <v>7232697</v>
      </c>
      <c r="G7" s="180">
        <v>7123950</v>
      </c>
      <c r="H7" s="180">
        <v>6932102</v>
      </c>
      <c r="I7" s="912">
        <v>7676028</v>
      </c>
      <c r="J7" s="783">
        <f t="shared" si="1"/>
        <v>0</v>
      </c>
    </row>
    <row r="8" spans="1:10" s="28" customFormat="1" ht="20.25" customHeight="1">
      <c r="A8" s="649" t="s">
        <v>278</v>
      </c>
      <c r="B8" s="7" t="s">
        <v>355</v>
      </c>
      <c r="C8" s="180"/>
      <c r="D8" s="180"/>
      <c r="E8" s="180">
        <f>F8+G8+H8+I8</f>
        <v>0</v>
      </c>
      <c r="F8" s="273"/>
      <c r="G8" s="273"/>
      <c r="H8" s="273"/>
      <c r="I8" s="650"/>
      <c r="J8" s="783">
        <f t="shared" si="1"/>
        <v>0</v>
      </c>
    </row>
    <row r="9" spans="1:10" ht="20.25" customHeight="1">
      <c r="A9" s="648" t="s">
        <v>266</v>
      </c>
      <c r="B9" s="7" t="s">
        <v>260</v>
      </c>
      <c r="C9" s="180">
        <f>1147608.063+286901.95103+1738728.4108+434755.91515</f>
        <v>3607994.3399799997</v>
      </c>
      <c r="D9" s="180">
        <v>4611707</v>
      </c>
      <c r="E9" s="180">
        <v>6498746</v>
      </c>
      <c r="F9" s="1125">
        <f>638652+981606</f>
        <v>1620258</v>
      </c>
      <c r="G9" s="273">
        <f>629749+966099</f>
        <v>1595848</v>
      </c>
      <c r="H9" s="273">
        <v>1554545</v>
      </c>
      <c r="I9" s="650">
        <v>1728095</v>
      </c>
      <c r="J9" s="783">
        <f t="shared" si="1"/>
        <v>0</v>
      </c>
    </row>
    <row r="10" spans="1:10" ht="20.25" customHeight="1">
      <c r="A10" s="648" t="s">
        <v>279</v>
      </c>
      <c r="B10" s="7" t="s">
        <v>255</v>
      </c>
      <c r="C10" s="180">
        <v>1257542.62576</v>
      </c>
      <c r="D10" s="180">
        <v>1327856</v>
      </c>
      <c r="E10" s="180">
        <v>1416244</v>
      </c>
      <c r="F10" s="273">
        <v>356771</v>
      </c>
      <c r="G10" s="273">
        <v>351216</v>
      </c>
      <c r="H10" s="273">
        <v>340182</v>
      </c>
      <c r="I10" s="650">
        <v>368075</v>
      </c>
      <c r="J10" s="783">
        <f t="shared" si="1"/>
        <v>0</v>
      </c>
    </row>
    <row r="11" spans="1:10" ht="20.25" customHeight="1">
      <c r="A11" s="648" t="s">
        <v>280</v>
      </c>
      <c r="B11" s="7" t="s">
        <v>274</v>
      </c>
      <c r="C11" s="180">
        <f>C12+C13+C14+C15</f>
        <v>7983004.212836</v>
      </c>
      <c r="D11" s="180">
        <f>D12+D13+D14+D15</f>
        <v>9498758</v>
      </c>
      <c r="E11" s="180">
        <f>F11+G11+H11+I11</f>
        <v>11366888</v>
      </c>
      <c r="F11" s="180">
        <f>F12+F13+F14+F15</f>
        <v>2838919</v>
      </c>
      <c r="G11" s="180">
        <f>G12+G13+G14+G15</f>
        <v>2796948</v>
      </c>
      <c r="H11" s="180">
        <f>H12+H13+H14+H15</f>
        <v>2722371</v>
      </c>
      <c r="I11" s="912">
        <f>I12+I13+I14+I15</f>
        <v>3008650</v>
      </c>
      <c r="J11" s="783">
        <f t="shared" si="1"/>
        <v>0</v>
      </c>
    </row>
    <row r="12" spans="1:11" s="28" customFormat="1" ht="20.25" customHeight="1">
      <c r="A12" s="649" t="s">
        <v>281</v>
      </c>
      <c r="B12" s="7" t="s">
        <v>356</v>
      </c>
      <c r="C12" s="180">
        <v>3923856.552</v>
      </c>
      <c r="D12" s="180">
        <v>4848135</v>
      </c>
      <c r="E12" s="180">
        <v>6119083</v>
      </c>
      <c r="F12" s="273">
        <v>1519753</v>
      </c>
      <c r="G12" s="273">
        <v>1498146</v>
      </c>
      <c r="H12" s="273">
        <v>1463156</v>
      </c>
      <c r="I12" s="650">
        <v>1638028</v>
      </c>
      <c r="J12" s="783">
        <f t="shared" si="1"/>
        <v>0</v>
      </c>
      <c r="K12" s="120"/>
    </row>
    <row r="13" spans="1:10" s="6" customFormat="1" ht="20.25" customHeight="1">
      <c r="A13" s="649" t="s">
        <v>357</v>
      </c>
      <c r="B13" s="7" t="s">
        <v>358</v>
      </c>
      <c r="C13" s="180">
        <v>3601210.9608</v>
      </c>
      <c r="D13" s="180">
        <v>4247488</v>
      </c>
      <c r="E13" s="180">
        <v>4708684</v>
      </c>
      <c r="F13" s="273">
        <v>1183559</v>
      </c>
      <c r="G13" s="273">
        <v>1165281</v>
      </c>
      <c r="H13" s="273">
        <v>1129793</v>
      </c>
      <c r="I13" s="650">
        <v>1230051</v>
      </c>
      <c r="J13" s="783">
        <f t="shared" si="1"/>
        <v>0</v>
      </c>
    </row>
    <row r="14" spans="1:12" ht="20.25" customHeight="1">
      <c r="A14" s="649" t="s">
        <v>359</v>
      </c>
      <c r="B14" s="7" t="s">
        <v>360</v>
      </c>
      <c r="C14" s="180">
        <v>270632.333036</v>
      </c>
      <c r="D14" s="180">
        <v>248445</v>
      </c>
      <c r="E14" s="180">
        <v>388806</v>
      </c>
      <c r="F14" s="273">
        <v>97845</v>
      </c>
      <c r="G14" s="273">
        <v>96313</v>
      </c>
      <c r="H14" s="273">
        <v>93294</v>
      </c>
      <c r="I14" s="650">
        <v>101354</v>
      </c>
      <c r="J14" s="783">
        <f t="shared" si="1"/>
        <v>0</v>
      </c>
      <c r="K14" s="101"/>
      <c r="L14" s="101"/>
    </row>
    <row r="15" spans="1:10" s="28" customFormat="1" ht="20.25" customHeight="1">
      <c r="A15" s="649" t="s">
        <v>361</v>
      </c>
      <c r="B15" s="7" t="s">
        <v>362</v>
      </c>
      <c r="C15" s="180">
        <v>187304.367</v>
      </c>
      <c r="D15" s="180">
        <v>154690</v>
      </c>
      <c r="E15" s="180">
        <v>150315</v>
      </c>
      <c r="F15" s="273">
        <v>37762</v>
      </c>
      <c r="G15" s="273">
        <v>37208</v>
      </c>
      <c r="H15" s="273">
        <v>36128</v>
      </c>
      <c r="I15" s="650">
        <v>39217</v>
      </c>
      <c r="J15" s="783">
        <f t="shared" si="1"/>
        <v>0</v>
      </c>
    </row>
    <row r="16" spans="1:10" s="28" customFormat="1" ht="20.25" customHeight="1">
      <c r="A16" s="649">
        <v>2</v>
      </c>
      <c r="B16" s="230" t="s">
        <v>256</v>
      </c>
      <c r="C16" s="179">
        <v>90904.016</v>
      </c>
      <c r="D16" s="179">
        <v>150582</v>
      </c>
      <c r="E16" s="179">
        <v>148788</v>
      </c>
      <c r="F16" s="913">
        <v>37197</v>
      </c>
      <c r="G16" s="913">
        <v>37197</v>
      </c>
      <c r="H16" s="913">
        <v>37197</v>
      </c>
      <c r="I16" s="913">
        <v>37197</v>
      </c>
      <c r="J16" s="783">
        <f t="shared" si="1"/>
        <v>0</v>
      </c>
    </row>
    <row r="17" spans="1:10" s="28" customFormat="1" ht="20.25" customHeight="1">
      <c r="A17" s="649">
        <v>3</v>
      </c>
      <c r="B17" s="124" t="s">
        <v>363</v>
      </c>
      <c r="C17" s="179"/>
      <c r="D17" s="179"/>
      <c r="E17" s="179"/>
      <c r="F17" s="273"/>
      <c r="G17" s="273"/>
      <c r="H17" s="273"/>
      <c r="I17" s="650"/>
      <c r="J17" s="783">
        <f t="shared" si="1"/>
        <v>0</v>
      </c>
    </row>
    <row r="18" spans="1:12" ht="20.25" customHeight="1">
      <c r="A18" s="649" t="s">
        <v>261</v>
      </c>
      <c r="B18" s="87" t="s">
        <v>364</v>
      </c>
      <c r="C18" s="180">
        <f>935338.42261+233834.60562</f>
        <v>1169173.02823</v>
      </c>
      <c r="D18" s="180">
        <v>1990907</v>
      </c>
      <c r="E18" s="180">
        <v>2306624</v>
      </c>
      <c r="F18" s="273">
        <v>576656</v>
      </c>
      <c r="G18" s="273">
        <v>576656</v>
      </c>
      <c r="H18" s="273">
        <v>576656</v>
      </c>
      <c r="I18" s="273">
        <v>576656</v>
      </c>
      <c r="J18" s="783">
        <f t="shared" si="1"/>
        <v>0</v>
      </c>
      <c r="K18" s="101"/>
      <c r="L18" s="101"/>
    </row>
    <row r="19" spans="1:10" s="28" customFormat="1" ht="20.25" customHeight="1">
      <c r="A19" s="649" t="s">
        <v>262</v>
      </c>
      <c r="B19" s="87" t="s">
        <v>365</v>
      </c>
      <c r="C19" s="180">
        <v>9710.061</v>
      </c>
      <c r="D19" s="180">
        <v>23171</v>
      </c>
      <c r="E19" s="180">
        <v>10000</v>
      </c>
      <c r="F19" s="273">
        <v>2500</v>
      </c>
      <c r="G19" s="273">
        <v>2500</v>
      </c>
      <c r="H19" s="273">
        <v>2500</v>
      </c>
      <c r="I19" s="273">
        <v>2500</v>
      </c>
      <c r="J19" s="783">
        <f t="shared" si="1"/>
        <v>0</v>
      </c>
    </row>
    <row r="20" spans="1:11" s="28" customFormat="1" ht="20.25" customHeight="1">
      <c r="A20" s="649" t="s">
        <v>366</v>
      </c>
      <c r="B20" s="25" t="s">
        <v>367</v>
      </c>
      <c r="C20" s="180">
        <f>95206.373+105000+3291.4516+3071.84</f>
        <v>206569.66460000002</v>
      </c>
      <c r="D20" s="180">
        <f>6792+4462</f>
        <v>11254</v>
      </c>
      <c r="E20" s="180">
        <v>10000</v>
      </c>
      <c r="F20" s="273">
        <v>2500</v>
      </c>
      <c r="G20" s="273">
        <v>2500</v>
      </c>
      <c r="H20" s="273">
        <v>2500</v>
      </c>
      <c r="I20" s="650">
        <v>2500</v>
      </c>
      <c r="J20" s="783">
        <f t="shared" si="1"/>
        <v>0</v>
      </c>
      <c r="K20" s="120"/>
    </row>
    <row r="21" spans="1:11" s="28" customFormat="1" ht="20.25" customHeight="1">
      <c r="A21" s="649" t="s">
        <v>368</v>
      </c>
      <c r="B21" s="25" t="s">
        <v>369</v>
      </c>
      <c r="C21" s="180">
        <f>1622.39163+7351.03834</f>
        <v>8973.429970000001</v>
      </c>
      <c r="D21" s="180">
        <v>15732</v>
      </c>
      <c r="E21" s="180">
        <v>3000</v>
      </c>
      <c r="F21" s="273">
        <v>750</v>
      </c>
      <c r="G21" s="273">
        <v>750</v>
      </c>
      <c r="H21" s="273">
        <v>750</v>
      </c>
      <c r="I21" s="273">
        <v>750</v>
      </c>
      <c r="J21" s="783">
        <f t="shared" si="1"/>
        <v>0</v>
      </c>
      <c r="K21" s="120"/>
    </row>
    <row r="22" spans="1:11" s="28" customFormat="1" ht="20.25" customHeight="1">
      <c r="A22" s="649" t="s">
        <v>370</v>
      </c>
      <c r="B22" s="25" t="s">
        <v>255</v>
      </c>
      <c r="C22" s="180">
        <v>20520.93687</v>
      </c>
      <c r="D22" s="180">
        <v>18766</v>
      </c>
      <c r="E22" s="180">
        <v>18008</v>
      </c>
      <c r="F22" s="273">
        <v>4502</v>
      </c>
      <c r="G22" s="273">
        <v>4502</v>
      </c>
      <c r="H22" s="273">
        <v>4502</v>
      </c>
      <c r="I22" s="273">
        <v>4502</v>
      </c>
      <c r="J22" s="783">
        <f t="shared" si="1"/>
        <v>0</v>
      </c>
      <c r="K22" s="120"/>
    </row>
    <row r="23" spans="1:12" ht="20.25" customHeight="1">
      <c r="A23" s="649" t="s">
        <v>371</v>
      </c>
      <c r="B23" s="25" t="s">
        <v>372</v>
      </c>
      <c r="C23" s="180">
        <v>174282.49001</v>
      </c>
      <c r="D23" s="180">
        <v>225638</v>
      </c>
      <c r="E23" s="180">
        <v>253020</v>
      </c>
      <c r="F23" s="273">
        <v>63255</v>
      </c>
      <c r="G23" s="273">
        <v>63255</v>
      </c>
      <c r="H23" s="273">
        <v>63255</v>
      </c>
      <c r="I23" s="273">
        <v>63255</v>
      </c>
      <c r="J23" s="783">
        <f t="shared" si="1"/>
        <v>0</v>
      </c>
      <c r="K23" s="101"/>
      <c r="L23" s="101"/>
    </row>
    <row r="24" spans="1:12" s="28" customFormat="1" ht="20.25" customHeight="1">
      <c r="A24" s="649" t="s">
        <v>373</v>
      </c>
      <c r="B24" s="25" t="s">
        <v>374</v>
      </c>
      <c r="C24" s="180">
        <f>8941+5433</f>
        <v>14374</v>
      </c>
      <c r="D24" s="180">
        <f>5509+8605</f>
        <v>14114</v>
      </c>
      <c r="E24" s="180">
        <v>16600</v>
      </c>
      <c r="F24" s="273">
        <v>4150</v>
      </c>
      <c r="G24" s="273">
        <v>4150</v>
      </c>
      <c r="H24" s="273">
        <v>4150</v>
      </c>
      <c r="I24" s="650">
        <v>4150</v>
      </c>
      <c r="J24" s="783">
        <f t="shared" si="1"/>
        <v>0</v>
      </c>
      <c r="K24" s="120"/>
      <c r="L24" s="120"/>
    </row>
    <row r="25" spans="1:10" s="28" customFormat="1" ht="21" customHeight="1">
      <c r="A25" s="649" t="s">
        <v>375</v>
      </c>
      <c r="B25" s="25" t="s">
        <v>376</v>
      </c>
      <c r="C25" s="180">
        <v>417.34</v>
      </c>
      <c r="D25" s="180">
        <v>529</v>
      </c>
      <c r="E25" s="180">
        <v>1000</v>
      </c>
      <c r="F25" s="273">
        <v>250</v>
      </c>
      <c r="G25" s="273">
        <v>250</v>
      </c>
      <c r="H25" s="273">
        <v>250</v>
      </c>
      <c r="I25" s="650">
        <v>250</v>
      </c>
      <c r="J25" s="783">
        <f t="shared" si="1"/>
        <v>0</v>
      </c>
    </row>
    <row r="26" spans="1:10" s="28" customFormat="1" ht="21" customHeight="1">
      <c r="A26" s="649" t="s">
        <v>377</v>
      </c>
      <c r="B26" s="25" t="s">
        <v>378</v>
      </c>
      <c r="C26" s="180">
        <v>190000</v>
      </c>
      <c r="D26" s="180">
        <v>240000</v>
      </c>
      <c r="E26" s="180">
        <v>300000</v>
      </c>
      <c r="F26" s="273">
        <v>75000</v>
      </c>
      <c r="G26" s="273">
        <v>75000</v>
      </c>
      <c r="H26" s="273">
        <v>75000</v>
      </c>
      <c r="I26" s="273">
        <v>75000</v>
      </c>
      <c r="J26" s="783">
        <f t="shared" si="1"/>
        <v>0</v>
      </c>
    </row>
    <row r="27" spans="1:10" s="28" customFormat="1" ht="21" customHeight="1">
      <c r="A27" s="649" t="s">
        <v>379</v>
      </c>
      <c r="B27" s="25" t="s">
        <v>380</v>
      </c>
      <c r="C27" s="180">
        <f aca="true" t="shared" si="2" ref="C27:I27">C28-C18-C19-C20-C21-C22-C23-C24-C25-C26</f>
        <v>2043.61131999988</v>
      </c>
      <c r="D27" s="180">
        <f t="shared" si="2"/>
        <v>82461</v>
      </c>
      <c r="E27" s="914">
        <f t="shared" si="2"/>
        <v>12196</v>
      </c>
      <c r="F27" s="914">
        <f t="shared" si="2"/>
        <v>3049</v>
      </c>
      <c r="G27" s="914">
        <f t="shared" si="2"/>
        <v>3049</v>
      </c>
      <c r="H27" s="914">
        <f t="shared" si="2"/>
        <v>3049</v>
      </c>
      <c r="I27" s="915">
        <f t="shared" si="2"/>
        <v>3049</v>
      </c>
      <c r="J27" s="783">
        <f t="shared" si="1"/>
        <v>0</v>
      </c>
    </row>
    <row r="28" spans="1:10" s="28" customFormat="1" ht="20.25" customHeight="1">
      <c r="A28" s="649"/>
      <c r="B28" s="177" t="s">
        <v>83</v>
      </c>
      <c r="C28" s="179">
        <v>1796064.562</v>
      </c>
      <c r="D28" s="179">
        <v>2622572</v>
      </c>
      <c r="E28" s="179">
        <v>2930448</v>
      </c>
      <c r="F28" s="179">
        <v>732612</v>
      </c>
      <c r="G28" s="179">
        <v>732612</v>
      </c>
      <c r="H28" s="179">
        <v>732612</v>
      </c>
      <c r="I28" s="179">
        <v>732612</v>
      </c>
      <c r="J28" s="783">
        <f t="shared" si="1"/>
        <v>0</v>
      </c>
    </row>
    <row r="29" spans="1:10" s="6" customFormat="1" ht="30" customHeight="1">
      <c r="A29" s="649">
        <v>4</v>
      </c>
      <c r="B29" s="177" t="s">
        <v>381</v>
      </c>
      <c r="C29" s="179"/>
      <c r="D29" s="179"/>
      <c r="E29" s="180"/>
      <c r="F29" s="273"/>
      <c r="G29" s="273"/>
      <c r="H29" s="273"/>
      <c r="I29" s="650"/>
      <c r="J29" s="783">
        <f t="shared" si="1"/>
        <v>0</v>
      </c>
    </row>
    <row r="30" spans="1:10" ht="20.25" customHeight="1">
      <c r="A30" s="649" t="s">
        <v>382</v>
      </c>
      <c r="B30" s="25" t="s">
        <v>383</v>
      </c>
      <c r="C30" s="180">
        <v>2095455.84236</v>
      </c>
      <c r="D30" s="180">
        <v>2480538</v>
      </c>
      <c r="E30" s="180">
        <v>2740810</v>
      </c>
      <c r="F30" s="273">
        <v>682912</v>
      </c>
      <c r="G30" s="273">
        <v>675789</v>
      </c>
      <c r="H30" s="273">
        <v>662501</v>
      </c>
      <c r="I30" s="650">
        <v>719608</v>
      </c>
      <c r="J30" s="783">
        <f t="shared" si="1"/>
        <v>0</v>
      </c>
    </row>
    <row r="31" spans="1:10" ht="20.25" customHeight="1">
      <c r="A31" s="649" t="s">
        <v>384</v>
      </c>
      <c r="B31" s="25" t="s">
        <v>437</v>
      </c>
      <c r="C31" s="180">
        <v>149455.864</v>
      </c>
      <c r="D31" s="180">
        <v>142939</v>
      </c>
      <c r="E31" s="180">
        <v>145000</v>
      </c>
      <c r="F31" s="273">
        <v>36250</v>
      </c>
      <c r="G31" s="273">
        <v>36250</v>
      </c>
      <c r="H31" s="273">
        <v>36250</v>
      </c>
      <c r="I31" s="650">
        <v>36250</v>
      </c>
      <c r="J31" s="783">
        <f t="shared" si="1"/>
        <v>0</v>
      </c>
    </row>
    <row r="32" spans="1:10" ht="20.25" customHeight="1">
      <c r="A32" s="649" t="s">
        <v>385</v>
      </c>
      <c r="B32" s="25" t="s">
        <v>386</v>
      </c>
      <c r="C32" s="180">
        <f>785.83265+24374.30137</f>
        <v>25160.13402</v>
      </c>
      <c r="D32" s="180">
        <v>25695</v>
      </c>
      <c r="E32" s="180">
        <v>26468</v>
      </c>
      <c r="F32" s="273">
        <v>6617</v>
      </c>
      <c r="G32" s="273">
        <v>6617</v>
      </c>
      <c r="H32" s="273">
        <v>6617</v>
      </c>
      <c r="I32" s="273">
        <v>6617</v>
      </c>
      <c r="J32" s="783">
        <f t="shared" si="1"/>
        <v>0</v>
      </c>
    </row>
    <row r="33" spans="1:10" s="6" customFormat="1" ht="20.25" customHeight="1">
      <c r="A33" s="649" t="s">
        <v>387</v>
      </c>
      <c r="B33" s="25" t="s">
        <v>388</v>
      </c>
      <c r="C33" s="180">
        <v>8795.21237</v>
      </c>
      <c r="D33" s="180">
        <v>6999</v>
      </c>
      <c r="E33" s="180">
        <v>12100</v>
      </c>
      <c r="F33" s="273">
        <v>3025</v>
      </c>
      <c r="G33" s="273">
        <v>3025</v>
      </c>
      <c r="H33" s="273">
        <v>3025</v>
      </c>
      <c r="I33" s="650">
        <v>3025</v>
      </c>
      <c r="J33" s="783">
        <f t="shared" si="1"/>
        <v>0</v>
      </c>
    </row>
    <row r="34" spans="1:10" s="6" customFormat="1" ht="20.25" customHeight="1">
      <c r="A34" s="649" t="s">
        <v>389</v>
      </c>
      <c r="B34" s="25" t="s">
        <v>390</v>
      </c>
      <c r="C34" s="180">
        <v>9900</v>
      </c>
      <c r="D34" s="180">
        <v>39900</v>
      </c>
      <c r="E34" s="180">
        <v>80000</v>
      </c>
      <c r="F34" s="273">
        <v>25000</v>
      </c>
      <c r="G34" s="273">
        <v>15000</v>
      </c>
      <c r="H34" s="273">
        <v>15000</v>
      </c>
      <c r="I34" s="650">
        <v>25000</v>
      </c>
      <c r="J34" s="783">
        <f t="shared" si="1"/>
        <v>0</v>
      </c>
    </row>
    <row r="35" spans="1:10" s="6" customFormat="1" ht="20.25" customHeight="1">
      <c r="A35" s="649" t="s">
        <v>391</v>
      </c>
      <c r="B35" s="25" t="s">
        <v>392</v>
      </c>
      <c r="C35" s="180">
        <f>1008.969+2604.8+51178.1664+7471.04+135000</f>
        <v>197262.9754</v>
      </c>
      <c r="D35" s="180">
        <f>181500+42402</f>
        <v>223902</v>
      </c>
      <c r="E35" s="180">
        <f>3620+180000+29656</f>
        <v>213276</v>
      </c>
      <c r="F35" s="273">
        <f>905+7344</f>
        <v>8249</v>
      </c>
      <c r="G35" s="273">
        <f>905+7344</f>
        <v>8249</v>
      </c>
      <c r="H35" s="273">
        <f>905+180000+7344</f>
        <v>188249</v>
      </c>
      <c r="I35" s="650">
        <f>905+7344+280</f>
        <v>8529</v>
      </c>
      <c r="J35" s="783">
        <f>E35-F35-G35-H35-I35</f>
        <v>0</v>
      </c>
    </row>
    <row r="36" spans="1:10" ht="30">
      <c r="A36" s="649" t="s">
        <v>393</v>
      </c>
      <c r="B36" s="25" t="s">
        <v>394</v>
      </c>
      <c r="C36" s="180">
        <v>24785.089</v>
      </c>
      <c r="D36" s="180">
        <v>31682</v>
      </c>
      <c r="E36" s="180"/>
      <c r="F36" s="273"/>
      <c r="G36" s="273"/>
      <c r="H36" s="273"/>
      <c r="I36" s="650"/>
      <c r="J36" s="783">
        <f t="shared" si="1"/>
        <v>0</v>
      </c>
    </row>
    <row r="37" spans="1:10" ht="15.75">
      <c r="A37" s="649" t="s">
        <v>395</v>
      </c>
      <c r="B37" s="25" t="s">
        <v>396</v>
      </c>
      <c r="C37" s="180"/>
      <c r="D37" s="180"/>
      <c r="E37" s="180"/>
      <c r="F37" s="273"/>
      <c r="G37" s="273"/>
      <c r="H37" s="273"/>
      <c r="I37" s="650"/>
      <c r="J37" s="783">
        <f t="shared" si="1"/>
        <v>0</v>
      </c>
    </row>
    <row r="38" spans="1:10" ht="15.75">
      <c r="A38" s="649" t="s">
        <v>397</v>
      </c>
      <c r="B38" s="25" t="s">
        <v>398</v>
      </c>
      <c r="C38" s="180"/>
      <c r="D38" s="180"/>
      <c r="E38" s="180"/>
      <c r="F38" s="273"/>
      <c r="G38" s="273"/>
      <c r="H38" s="273"/>
      <c r="I38" s="650"/>
      <c r="J38" s="783">
        <f t="shared" si="1"/>
        <v>0</v>
      </c>
    </row>
    <row r="39" spans="1:10" ht="15.75">
      <c r="A39" s="649" t="s">
        <v>399</v>
      </c>
      <c r="B39" s="25" t="s">
        <v>400</v>
      </c>
      <c r="C39" s="180"/>
      <c r="D39" s="180"/>
      <c r="E39" s="180"/>
      <c r="F39" s="273"/>
      <c r="G39" s="273"/>
      <c r="H39" s="273"/>
      <c r="I39" s="650"/>
      <c r="J39" s="783">
        <f t="shared" si="1"/>
        <v>0</v>
      </c>
    </row>
    <row r="40" spans="1:10" ht="15.75">
      <c r="A40" s="649" t="s">
        <v>401</v>
      </c>
      <c r="B40" s="25" t="s">
        <v>402</v>
      </c>
      <c r="C40" s="180"/>
      <c r="D40" s="180"/>
      <c r="E40" s="180"/>
      <c r="F40" s="273"/>
      <c r="G40" s="273"/>
      <c r="H40" s="273"/>
      <c r="I40" s="650"/>
      <c r="J40" s="783">
        <f>E40-F40-G40-H40-I40</f>
        <v>0</v>
      </c>
    </row>
    <row r="41" spans="1:10" ht="15.75">
      <c r="A41" s="649" t="s">
        <v>403</v>
      </c>
      <c r="B41" s="25" t="s">
        <v>471</v>
      </c>
      <c r="C41" s="180">
        <v>373000</v>
      </c>
      <c r="D41" s="180">
        <v>250000</v>
      </c>
      <c r="E41" s="180"/>
      <c r="F41" s="273"/>
      <c r="G41" s="273"/>
      <c r="H41" s="273"/>
      <c r="I41" s="650"/>
      <c r="J41" s="783">
        <f aca="true" t="shared" si="3" ref="J41:J75">E41-F41-G41-H41-I41</f>
        <v>0</v>
      </c>
    </row>
    <row r="42" spans="1:10" ht="15.75">
      <c r="A42" s="649" t="s">
        <v>404</v>
      </c>
      <c r="B42" s="25" t="s">
        <v>405</v>
      </c>
      <c r="C42" s="180">
        <v>17766.051</v>
      </c>
      <c r="D42" s="180">
        <v>24049</v>
      </c>
      <c r="E42" s="180">
        <v>29000</v>
      </c>
      <c r="F42" s="273">
        <v>7250</v>
      </c>
      <c r="G42" s="273">
        <v>7250</v>
      </c>
      <c r="H42" s="273">
        <v>7250</v>
      </c>
      <c r="I42" s="650">
        <v>7250</v>
      </c>
      <c r="J42" s="783">
        <f t="shared" si="3"/>
        <v>0</v>
      </c>
    </row>
    <row r="43" spans="1:10" ht="15.75">
      <c r="A43" s="649" t="s">
        <v>406</v>
      </c>
      <c r="B43" s="25" t="s">
        <v>407</v>
      </c>
      <c r="C43" s="180">
        <v>196953.07</v>
      </c>
      <c r="D43" s="180">
        <v>14166</v>
      </c>
      <c r="E43" s="180"/>
      <c r="F43" s="273"/>
      <c r="G43" s="273"/>
      <c r="H43" s="273"/>
      <c r="I43" s="650"/>
      <c r="J43" s="783">
        <f t="shared" si="3"/>
        <v>0</v>
      </c>
    </row>
    <row r="44" spans="1:10" ht="15.75">
      <c r="A44" s="649" t="s">
        <v>408</v>
      </c>
      <c r="B44" s="25" t="s">
        <v>409</v>
      </c>
      <c r="C44" s="180">
        <v>187256</v>
      </c>
      <c r="D44" s="180">
        <v>253858</v>
      </c>
      <c r="E44" s="180">
        <v>467073</v>
      </c>
      <c r="F44" s="273">
        <v>137862</v>
      </c>
      <c r="G44" s="273">
        <v>109737</v>
      </c>
      <c r="H44" s="273">
        <v>109737</v>
      </c>
      <c r="I44" s="650">
        <v>109737</v>
      </c>
      <c r="J44" s="783">
        <f t="shared" si="3"/>
        <v>0</v>
      </c>
    </row>
    <row r="45" spans="1:10" ht="15.75">
      <c r="A45" s="649" t="s">
        <v>410</v>
      </c>
      <c r="B45" s="25" t="s">
        <v>411</v>
      </c>
      <c r="C45" s="180">
        <f>C52-C30-C31-C32-C33-C34-C35-C36-C41-C42-C43-C44</f>
        <v>2337894.22885</v>
      </c>
      <c r="D45" s="180">
        <f>D52-D30-D31-D32-D33-D34-D35-D36-D41-D42-D43-D44</f>
        <v>2294545</v>
      </c>
      <c r="E45" s="180">
        <f>E52-E30-E31-E32-E33-E34-E35-E42-E44</f>
        <v>2496157</v>
      </c>
      <c r="F45" s="180">
        <f>F52-F30-F31-F32-F33-F34-F35-F42-F44</f>
        <v>615805</v>
      </c>
      <c r="G45" s="180">
        <f>G52-G30-G31-G32-G33-G34-G35-G42-G44</f>
        <v>694826</v>
      </c>
      <c r="H45" s="180">
        <f>H52-H30-H31-H32-H33-H34-H35-H42-H44</f>
        <v>451701</v>
      </c>
      <c r="I45" s="912">
        <f>I52-I30-I31-I32-I33-I34-I35-I42-I44</f>
        <v>733825</v>
      </c>
      <c r="J45" s="783">
        <f t="shared" si="3"/>
        <v>0</v>
      </c>
    </row>
    <row r="46" spans="1:10" ht="15.75">
      <c r="A46" s="649"/>
      <c r="B46" s="25" t="s">
        <v>412</v>
      </c>
      <c r="C46" s="180">
        <v>50519.087</v>
      </c>
      <c r="D46" s="180">
        <v>54366</v>
      </c>
      <c r="E46" s="180">
        <v>98650</v>
      </c>
      <c r="F46" s="273">
        <v>24663</v>
      </c>
      <c r="G46" s="273">
        <v>24663</v>
      </c>
      <c r="H46" s="273">
        <v>24662</v>
      </c>
      <c r="I46" s="650">
        <v>24662</v>
      </c>
      <c r="J46" s="783">
        <f t="shared" si="3"/>
        <v>0</v>
      </c>
    </row>
    <row r="47" spans="1:10" ht="15.75">
      <c r="A47" s="649"/>
      <c r="B47" s="25" t="s">
        <v>413</v>
      </c>
      <c r="C47" s="180">
        <v>2597.017</v>
      </c>
      <c r="D47" s="180">
        <v>6018</v>
      </c>
      <c r="E47" s="180"/>
      <c r="F47" s="273"/>
      <c r="G47" s="273"/>
      <c r="H47" s="273"/>
      <c r="I47" s="650"/>
      <c r="J47" s="783">
        <f t="shared" si="3"/>
        <v>0</v>
      </c>
    </row>
    <row r="48" spans="1:10" ht="15.75">
      <c r="A48" s="649"/>
      <c r="B48" s="25" t="s">
        <v>414</v>
      </c>
      <c r="C48" s="180"/>
      <c r="D48" s="180"/>
      <c r="E48" s="180"/>
      <c r="F48" s="273"/>
      <c r="G48" s="273"/>
      <c r="H48" s="273"/>
      <c r="I48" s="650"/>
      <c r="J48" s="783">
        <f t="shared" si="3"/>
        <v>0</v>
      </c>
    </row>
    <row r="49" spans="1:10" ht="15.75">
      <c r="A49" s="649"/>
      <c r="B49" s="25" t="s">
        <v>415</v>
      </c>
      <c r="C49" s="180">
        <v>15159.8</v>
      </c>
      <c r="D49" s="180">
        <v>270</v>
      </c>
      <c r="E49" s="180"/>
      <c r="F49" s="273"/>
      <c r="G49" s="273"/>
      <c r="H49" s="273"/>
      <c r="I49" s="650"/>
      <c r="J49" s="783">
        <f t="shared" si="3"/>
        <v>0</v>
      </c>
    </row>
    <row r="50" spans="1:10" ht="15.75">
      <c r="A50" s="649"/>
      <c r="B50" s="25" t="s">
        <v>416</v>
      </c>
      <c r="C50" s="180">
        <v>235119.70923</v>
      </c>
      <c r="D50" s="180">
        <v>261454</v>
      </c>
      <c r="E50" s="180">
        <v>353271</v>
      </c>
      <c r="F50" s="273">
        <v>109411</v>
      </c>
      <c r="G50" s="273">
        <v>81287</v>
      </c>
      <c r="H50" s="273">
        <v>81287</v>
      </c>
      <c r="I50" s="650">
        <v>81286</v>
      </c>
      <c r="J50" s="783">
        <f t="shared" si="3"/>
        <v>0</v>
      </c>
    </row>
    <row r="51" spans="1:10" ht="15.75">
      <c r="A51" s="649"/>
      <c r="B51" s="25" t="s">
        <v>68</v>
      </c>
      <c r="C51" s="180">
        <f>C45-C46-C47-C49-C50</f>
        <v>2034498.6156200005</v>
      </c>
      <c r="D51" s="180">
        <f>D45-D46-D47-D49-D50</f>
        <v>1972437</v>
      </c>
      <c r="E51" s="180">
        <f>E45-E46-E50</f>
        <v>2044236</v>
      </c>
      <c r="F51" s="180">
        <f>F45-F46-F50</f>
        <v>481731</v>
      </c>
      <c r="G51" s="180">
        <f>G45-G46-G50</f>
        <v>588876</v>
      </c>
      <c r="H51" s="180">
        <f>H45-H46-H50</f>
        <v>345752</v>
      </c>
      <c r="I51" s="912">
        <f>I45-I46-I50</f>
        <v>627877</v>
      </c>
      <c r="J51" s="783">
        <f t="shared" si="3"/>
        <v>0</v>
      </c>
    </row>
    <row r="52" spans="1:10" ht="15.75">
      <c r="A52" s="649"/>
      <c r="B52" s="177" t="s">
        <v>83</v>
      </c>
      <c r="C52" s="179">
        <v>5623684.467</v>
      </c>
      <c r="D52" s="179">
        <v>5788273</v>
      </c>
      <c r="E52" s="179">
        <v>6209884</v>
      </c>
      <c r="F52" s="913">
        <v>1522970</v>
      </c>
      <c r="G52" s="913">
        <v>1556743</v>
      </c>
      <c r="H52" s="913">
        <v>1480330</v>
      </c>
      <c r="I52" s="916">
        <v>1649841</v>
      </c>
      <c r="J52" s="783">
        <f t="shared" si="3"/>
        <v>0</v>
      </c>
    </row>
    <row r="53" spans="1:10" ht="15.75">
      <c r="A53" s="649"/>
      <c r="B53" s="177" t="s">
        <v>417</v>
      </c>
      <c r="C53" s="179">
        <f aca="true" t="shared" si="4" ref="C53:I53">C52+C28+C16</f>
        <v>7510653.045</v>
      </c>
      <c r="D53" s="179"/>
      <c r="E53" s="179">
        <f>E52+E28+E16</f>
        <v>9289120</v>
      </c>
      <c r="F53" s="179">
        <f t="shared" si="4"/>
        <v>2292779</v>
      </c>
      <c r="G53" s="179">
        <f t="shared" si="4"/>
        <v>2326552</v>
      </c>
      <c r="H53" s="179">
        <f t="shared" si="4"/>
        <v>2250139</v>
      </c>
      <c r="I53" s="917">
        <f t="shared" si="4"/>
        <v>2419650</v>
      </c>
      <c r="J53" s="783">
        <f t="shared" si="3"/>
        <v>0</v>
      </c>
    </row>
    <row r="54" spans="1:10" ht="31.5">
      <c r="A54" s="647"/>
      <c r="B54" s="9" t="s">
        <v>418</v>
      </c>
      <c r="C54" s="179"/>
      <c r="D54" s="179"/>
      <c r="E54" s="179"/>
      <c r="F54" s="913"/>
      <c r="G54" s="913"/>
      <c r="H54" s="913"/>
      <c r="I54" s="916"/>
      <c r="J54" s="783">
        <f t="shared" si="3"/>
        <v>0</v>
      </c>
    </row>
    <row r="55" spans="1:10" ht="15.75">
      <c r="A55" s="648"/>
      <c r="B55" s="178" t="s">
        <v>419</v>
      </c>
      <c r="C55" s="180"/>
      <c r="D55" s="180"/>
      <c r="E55" s="180"/>
      <c r="F55" s="273"/>
      <c r="G55" s="273"/>
      <c r="H55" s="273"/>
      <c r="I55" s="650"/>
      <c r="J55" s="783">
        <f t="shared" si="3"/>
        <v>0</v>
      </c>
    </row>
    <row r="56" spans="1:10" ht="15.75">
      <c r="A56" s="648"/>
      <c r="B56" s="735" t="s">
        <v>420</v>
      </c>
      <c r="C56" s="180">
        <v>124445.6046</v>
      </c>
      <c r="D56" s="180">
        <v>127911</v>
      </c>
      <c r="E56" s="180">
        <v>195757</v>
      </c>
      <c r="F56" s="273">
        <v>46553</v>
      </c>
      <c r="G56" s="273">
        <v>47364</v>
      </c>
      <c r="H56" s="273">
        <v>48342</v>
      </c>
      <c r="I56" s="650">
        <v>53498</v>
      </c>
      <c r="J56" s="783">
        <f t="shared" si="3"/>
        <v>0</v>
      </c>
    </row>
    <row r="57" spans="1:10" ht="15.75">
      <c r="A57" s="648"/>
      <c r="B57" s="735" t="s">
        <v>421</v>
      </c>
      <c r="C57" s="180"/>
      <c r="D57" s="180"/>
      <c r="E57" s="180"/>
      <c r="F57" s="273"/>
      <c r="G57" s="273"/>
      <c r="H57" s="273"/>
      <c r="I57" s="650"/>
      <c r="J57" s="783">
        <f t="shared" si="3"/>
        <v>0</v>
      </c>
    </row>
    <row r="58" spans="1:10" ht="15.75">
      <c r="A58" s="648"/>
      <c r="B58" s="735" t="s">
        <v>422</v>
      </c>
      <c r="C58" s="180"/>
      <c r="D58" s="180"/>
      <c r="E58" s="180"/>
      <c r="F58" s="273"/>
      <c r="G58" s="273"/>
      <c r="H58" s="273"/>
      <c r="I58" s="650"/>
      <c r="J58" s="783">
        <f t="shared" si="3"/>
        <v>0</v>
      </c>
    </row>
    <row r="59" spans="1:10" ht="15.75">
      <c r="A59" s="648"/>
      <c r="B59" s="735" t="s">
        <v>423</v>
      </c>
      <c r="C59" s="180"/>
      <c r="D59" s="180"/>
      <c r="E59" s="180"/>
      <c r="F59" s="273"/>
      <c r="G59" s="273"/>
      <c r="H59" s="273"/>
      <c r="I59" s="650"/>
      <c r="J59" s="783">
        <f t="shared" si="3"/>
        <v>0</v>
      </c>
    </row>
    <row r="60" spans="1:10" ht="15.75">
      <c r="A60" s="648"/>
      <c r="B60" s="735" t="s">
        <v>424</v>
      </c>
      <c r="C60" s="180">
        <v>195508.68778</v>
      </c>
      <c r="D60" s="180">
        <v>122508</v>
      </c>
      <c r="E60" s="180">
        <v>122336</v>
      </c>
      <c r="F60" s="273">
        <v>30584</v>
      </c>
      <c r="G60" s="273">
        <v>30584</v>
      </c>
      <c r="H60" s="273">
        <v>30584</v>
      </c>
      <c r="I60" s="650">
        <v>30584</v>
      </c>
      <c r="J60" s="783">
        <f t="shared" si="3"/>
        <v>0</v>
      </c>
    </row>
    <row r="61" spans="1:10" ht="15.75">
      <c r="A61" s="648"/>
      <c r="B61" s="735" t="s">
        <v>425</v>
      </c>
      <c r="C61" s="180">
        <v>599273.99869</v>
      </c>
      <c r="D61" s="180">
        <v>759588</v>
      </c>
      <c r="E61" s="180">
        <v>838540</v>
      </c>
      <c r="F61" s="273">
        <v>209673</v>
      </c>
      <c r="G61" s="273">
        <v>206500</v>
      </c>
      <c r="H61" s="273">
        <v>200793</v>
      </c>
      <c r="I61" s="650">
        <v>221574</v>
      </c>
      <c r="J61" s="783">
        <f t="shared" si="3"/>
        <v>0</v>
      </c>
    </row>
    <row r="62" spans="1:10" ht="15.75">
      <c r="A62" s="648"/>
      <c r="B62" s="735" t="s">
        <v>426</v>
      </c>
      <c r="C62" s="180">
        <v>684884.56993</v>
      </c>
      <c r="D62" s="180">
        <v>868100</v>
      </c>
      <c r="E62" s="180">
        <v>958331</v>
      </c>
      <c r="F62" s="273">
        <v>239626</v>
      </c>
      <c r="G62" s="273">
        <v>236000</v>
      </c>
      <c r="H62" s="273">
        <v>229478</v>
      </c>
      <c r="I62" s="650">
        <v>253227</v>
      </c>
      <c r="J62" s="783">
        <f t="shared" si="3"/>
        <v>0</v>
      </c>
    </row>
    <row r="63" spans="1:10" ht="15.75">
      <c r="A63" s="648"/>
      <c r="B63" s="735" t="s">
        <v>427</v>
      </c>
      <c r="C63" s="180">
        <v>214026.4281</v>
      </c>
      <c r="D63" s="180">
        <v>271281</v>
      </c>
      <c r="E63" s="180">
        <v>299479</v>
      </c>
      <c r="F63" s="273">
        <v>74883</v>
      </c>
      <c r="G63" s="273">
        <v>73750</v>
      </c>
      <c r="H63" s="273">
        <v>71713</v>
      </c>
      <c r="I63" s="650">
        <v>79133</v>
      </c>
      <c r="J63" s="783">
        <f t="shared" si="3"/>
        <v>0</v>
      </c>
    </row>
    <row r="64" spans="1:10" ht="15.75">
      <c r="A64" s="648"/>
      <c r="B64" s="178" t="s">
        <v>428</v>
      </c>
      <c r="C64" s="180">
        <v>277316.55326</v>
      </c>
      <c r="D64" s="180">
        <v>331149</v>
      </c>
      <c r="E64" s="180">
        <v>326368</v>
      </c>
      <c r="F64" s="273">
        <v>81592</v>
      </c>
      <c r="G64" s="273">
        <v>81592</v>
      </c>
      <c r="H64" s="273">
        <v>81592</v>
      </c>
      <c r="I64" s="650">
        <v>81592</v>
      </c>
      <c r="J64" s="783">
        <f t="shared" si="3"/>
        <v>0</v>
      </c>
    </row>
    <row r="65" spans="1:10" ht="15.75">
      <c r="A65" s="648"/>
      <c r="B65" s="735" t="s">
        <v>429</v>
      </c>
      <c r="C65" s="180"/>
      <c r="D65" s="180"/>
      <c r="E65" s="180"/>
      <c r="F65" s="273"/>
      <c r="G65" s="273"/>
      <c r="H65" s="273"/>
      <c r="I65" s="650"/>
      <c r="J65" s="783">
        <f t="shared" si="3"/>
        <v>0</v>
      </c>
    </row>
    <row r="66" spans="1:10" ht="15.75">
      <c r="A66" s="648"/>
      <c r="B66" s="735" t="s">
        <v>430</v>
      </c>
      <c r="C66" s="180"/>
      <c r="D66" s="180"/>
      <c r="E66" s="180"/>
      <c r="F66" s="273"/>
      <c r="G66" s="273"/>
      <c r="H66" s="273"/>
      <c r="I66" s="650"/>
      <c r="J66" s="783">
        <f t="shared" si="3"/>
        <v>0</v>
      </c>
    </row>
    <row r="67" spans="1:10" ht="15.75">
      <c r="A67" s="648"/>
      <c r="B67" s="735" t="s">
        <v>431</v>
      </c>
      <c r="C67" s="180"/>
      <c r="D67" s="180"/>
      <c r="E67" s="180"/>
      <c r="F67" s="273"/>
      <c r="G67" s="273"/>
      <c r="H67" s="273"/>
      <c r="I67" s="650"/>
      <c r="J67" s="783">
        <f t="shared" si="3"/>
        <v>0</v>
      </c>
    </row>
    <row r="68" spans="1:10" ht="15.75">
      <c r="A68" s="648"/>
      <c r="B68" s="735" t="s">
        <v>432</v>
      </c>
      <c r="C68" s="180"/>
      <c r="D68" s="180"/>
      <c r="E68" s="180"/>
      <c r="F68" s="273"/>
      <c r="G68" s="273"/>
      <c r="H68" s="273"/>
      <c r="I68" s="650"/>
      <c r="J68" s="783">
        <f t="shared" si="3"/>
        <v>0</v>
      </c>
    </row>
    <row r="69" spans="1:10" ht="15.75">
      <c r="A69" s="649">
        <v>4</v>
      </c>
      <c r="B69" s="7" t="s">
        <v>433</v>
      </c>
      <c r="C69" s="180"/>
      <c r="D69" s="180"/>
      <c r="E69" s="180"/>
      <c r="F69" s="273"/>
      <c r="G69" s="273"/>
      <c r="H69" s="273"/>
      <c r="I69" s="650"/>
      <c r="J69" s="783">
        <f t="shared" si="3"/>
        <v>0</v>
      </c>
    </row>
    <row r="70" spans="1:10" ht="15.75">
      <c r="A70" s="649" t="s">
        <v>382</v>
      </c>
      <c r="B70" s="178" t="s">
        <v>434</v>
      </c>
      <c r="C70" s="179">
        <v>290347.4255</v>
      </c>
      <c r="D70" s="179">
        <v>380000</v>
      </c>
      <c r="E70" s="179">
        <v>401187</v>
      </c>
      <c r="F70" s="913">
        <v>119288</v>
      </c>
      <c r="G70" s="913">
        <v>110335</v>
      </c>
      <c r="H70" s="913">
        <v>121524</v>
      </c>
      <c r="I70" s="916">
        <v>50040</v>
      </c>
      <c r="J70" s="783">
        <f t="shared" si="3"/>
        <v>0</v>
      </c>
    </row>
    <row r="71" spans="1:10" ht="15.75">
      <c r="A71" s="649" t="s">
        <v>384</v>
      </c>
      <c r="B71" s="178" t="s">
        <v>435</v>
      </c>
      <c r="C71" s="179"/>
      <c r="D71" s="179"/>
      <c r="E71" s="179"/>
      <c r="F71" s="913"/>
      <c r="G71" s="913"/>
      <c r="H71" s="913"/>
      <c r="I71" s="916"/>
      <c r="J71" s="783">
        <f t="shared" si="3"/>
        <v>0</v>
      </c>
    </row>
    <row r="72" spans="1:10" ht="15.75">
      <c r="A72" s="649" t="s">
        <v>385</v>
      </c>
      <c r="B72" s="735" t="s">
        <v>436</v>
      </c>
      <c r="C72" s="180">
        <v>277722.29968</v>
      </c>
      <c r="D72" s="180">
        <v>452000</v>
      </c>
      <c r="E72" s="180">
        <v>395837</v>
      </c>
      <c r="F72" s="273">
        <v>117698</v>
      </c>
      <c r="G72" s="273">
        <v>108863</v>
      </c>
      <c r="H72" s="273">
        <v>119903</v>
      </c>
      <c r="I72" s="650">
        <v>49373</v>
      </c>
      <c r="J72" s="783">
        <f t="shared" si="3"/>
        <v>0</v>
      </c>
    </row>
    <row r="73" spans="1:10" ht="15.75">
      <c r="A73" s="648"/>
      <c r="B73" s="7"/>
      <c r="C73" s="180"/>
      <c r="D73" s="180"/>
      <c r="E73" s="180"/>
      <c r="F73" s="273"/>
      <c r="G73" s="273"/>
      <c r="H73" s="273"/>
      <c r="I73" s="650"/>
      <c r="J73" s="783">
        <f t="shared" si="3"/>
        <v>0</v>
      </c>
    </row>
    <row r="74" spans="1:10" ht="15.75">
      <c r="A74" s="648"/>
      <c r="B74" s="7"/>
      <c r="C74" s="180"/>
      <c r="D74" s="180"/>
      <c r="E74" s="180"/>
      <c r="F74" s="273"/>
      <c r="G74" s="273"/>
      <c r="H74" s="273"/>
      <c r="I74" s="650"/>
      <c r="J74" s="783">
        <f t="shared" si="3"/>
        <v>0</v>
      </c>
    </row>
    <row r="75" spans="1:10" ht="16.5" thickBot="1">
      <c r="A75" s="651"/>
      <c r="B75" s="652" t="s">
        <v>276</v>
      </c>
      <c r="C75" s="918">
        <f aca="true" t="shared" si="5" ref="C75:I75">C72+C70+C53+C5</f>
        <v>39186481.288916</v>
      </c>
      <c r="D75" s="918">
        <f t="shared" si="5"/>
        <v>41236543</v>
      </c>
      <c r="E75" s="918">
        <f t="shared" si="5"/>
        <v>58332799</v>
      </c>
      <c r="F75" s="918">
        <f t="shared" si="5"/>
        <v>14578410</v>
      </c>
      <c r="G75" s="918">
        <f t="shared" si="5"/>
        <v>14413712</v>
      </c>
      <c r="H75" s="918">
        <f t="shared" si="5"/>
        <v>14040766</v>
      </c>
      <c r="I75" s="919">
        <f t="shared" si="5"/>
        <v>15299911</v>
      </c>
      <c r="J75" s="783">
        <f t="shared" si="3"/>
        <v>0</v>
      </c>
    </row>
    <row r="77" spans="2:5" ht="15.75">
      <c r="B77" s="137" t="s">
        <v>349</v>
      </c>
      <c r="C77" s="137" t="s">
        <v>350</v>
      </c>
      <c r="D77" s="137"/>
      <c r="E77" s="173"/>
    </row>
    <row r="78" spans="2:6" ht="15.75">
      <c r="B78" s="138" t="s">
        <v>351</v>
      </c>
      <c r="C78" s="174"/>
      <c r="D78" s="174"/>
      <c r="E78" s="138"/>
      <c r="F78" s="162"/>
    </row>
    <row r="79" spans="2:6" ht="15.75">
      <c r="B79" s="172"/>
      <c r="C79" s="175"/>
      <c r="D79" s="175"/>
      <c r="E79" s="172"/>
      <c r="F79" s="162"/>
    </row>
    <row r="80" spans="2:6" ht="15.75">
      <c r="B80" s="137" t="s">
        <v>1459</v>
      </c>
      <c r="C80" s="137" t="s">
        <v>1448</v>
      </c>
      <c r="D80" s="137"/>
      <c r="E80" s="137"/>
      <c r="F80" s="162"/>
    </row>
    <row r="81" spans="2:6" ht="15.75">
      <c r="B81" s="172"/>
      <c r="C81" s="172"/>
      <c r="D81" s="172"/>
      <c r="E81" s="172"/>
      <c r="F81" s="162"/>
    </row>
    <row r="82" spans="2:6" ht="15.75">
      <c r="B82" s="137" t="s">
        <v>1112</v>
      </c>
      <c r="C82" s="137" t="s">
        <v>352</v>
      </c>
      <c r="D82" s="137"/>
      <c r="E82" s="137"/>
      <c r="F82" s="162"/>
    </row>
    <row r="83" spans="2:6" ht="15.75">
      <c r="B83" s="53"/>
      <c r="C83" s="31"/>
      <c r="D83" s="31"/>
      <c r="E83" s="31"/>
      <c r="F83" s="162"/>
    </row>
    <row r="84" spans="2:6" ht="15.75">
      <c r="B84" s="31"/>
      <c r="C84" s="162"/>
      <c r="D84" s="162"/>
      <c r="E84" s="162"/>
      <c r="F84" s="162"/>
    </row>
  </sheetData>
  <sheetProtection/>
  <mergeCells count="7">
    <mergeCell ref="E3:E4"/>
    <mergeCell ref="C3:C4"/>
    <mergeCell ref="F3:I3"/>
    <mergeCell ref="A1:H2"/>
    <mergeCell ref="A3:A4"/>
    <mergeCell ref="B3:B4"/>
    <mergeCell ref="D3:D4"/>
  </mergeCells>
  <printOptions horizontalCentered="1" verticalCentered="1"/>
  <pageMargins left="1.24" right="0.03937007874015748" top="0.5118110236220472" bottom="0.2755905511811024" header="0.1968503937007874" footer="0.15748031496062992"/>
  <pageSetup horizontalDpi="200" verticalDpi="200" orientation="landscape" paperSize="9" scale="65" r:id="rId1"/>
  <rowBreaks count="1" manualBreakCount="1">
    <brk id="35" min="1" max="2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zoomScaleSheetLayoutView="100" zoomScalePageLayoutView="0" workbookViewId="0" topLeftCell="A2">
      <selection activeCell="I19" sqref="I19"/>
    </sheetView>
  </sheetViews>
  <sheetFormatPr defaultColWidth="9.00390625" defaultRowHeight="12.75"/>
  <cols>
    <col min="1" max="1" width="3.125" style="17" bestFit="1" customWidth="1"/>
    <col min="2" max="2" width="27.00390625" style="17" customWidth="1"/>
    <col min="3" max="3" width="6.875" style="17" customWidth="1"/>
    <col min="4" max="5" width="11.125" style="17" customWidth="1"/>
    <col min="6" max="6" width="10.875" style="17" customWidth="1"/>
    <col min="7" max="10" width="11.125" style="17" customWidth="1"/>
    <col min="11" max="11" width="9.125" style="17" customWidth="1"/>
    <col min="12" max="12" width="11.125" style="17" bestFit="1" customWidth="1"/>
    <col min="13" max="16384" width="9.125" style="17" customWidth="1"/>
  </cols>
  <sheetData>
    <row r="1" spans="1:13" ht="24" customHeight="1">
      <c r="A1" s="1442" t="s">
        <v>1286</v>
      </c>
      <c r="B1" s="1442"/>
      <c r="C1" s="1442"/>
      <c r="D1" s="1442"/>
      <c r="E1" s="1442"/>
      <c r="F1" s="1442"/>
      <c r="G1" s="1442"/>
      <c r="H1" s="1442"/>
      <c r="I1" s="1442"/>
      <c r="J1" s="1442"/>
      <c r="K1" s="16"/>
      <c r="L1" s="16"/>
      <c r="M1" s="16"/>
    </row>
    <row r="2" spans="2:5" ht="21" customHeight="1" thickBot="1">
      <c r="B2" s="18"/>
      <c r="C2" s="18"/>
      <c r="D2" s="18"/>
      <c r="E2" s="18"/>
    </row>
    <row r="3" spans="2:5" ht="21" customHeight="1" hidden="1">
      <c r="B3" s="18"/>
      <c r="C3" s="18"/>
      <c r="D3" s="18"/>
      <c r="E3" s="18"/>
    </row>
    <row r="4" spans="2:5" ht="21" customHeight="1" hidden="1">
      <c r="B4" s="18"/>
      <c r="C4" s="18"/>
      <c r="D4" s="18"/>
      <c r="E4" s="18"/>
    </row>
    <row r="5" spans="1:10" ht="26.25" customHeight="1">
      <c r="A5" s="1443" t="s">
        <v>249</v>
      </c>
      <c r="B5" s="1445" t="s">
        <v>259</v>
      </c>
      <c r="C5" s="1445" t="s">
        <v>263</v>
      </c>
      <c r="D5" s="1449" t="s">
        <v>468</v>
      </c>
      <c r="E5" s="1449" t="s">
        <v>1127</v>
      </c>
      <c r="F5" s="1449" t="s">
        <v>1128</v>
      </c>
      <c r="G5" s="1447" t="s">
        <v>1285</v>
      </c>
      <c r="H5" s="1447"/>
      <c r="I5" s="1447"/>
      <c r="J5" s="1448"/>
    </row>
    <row r="6" spans="1:10" ht="31.5" customHeight="1" thickBot="1">
      <c r="A6" s="1444"/>
      <c r="B6" s="1446"/>
      <c r="C6" s="1446"/>
      <c r="D6" s="1450"/>
      <c r="E6" s="1450"/>
      <c r="F6" s="1450"/>
      <c r="G6" s="841" t="s">
        <v>282</v>
      </c>
      <c r="H6" s="841" t="s">
        <v>283</v>
      </c>
      <c r="I6" s="841" t="s">
        <v>284</v>
      </c>
      <c r="J6" s="842" t="s">
        <v>285</v>
      </c>
    </row>
    <row r="7" spans="1:12" ht="21" customHeight="1">
      <c r="A7" s="181">
        <v>1</v>
      </c>
      <c r="B7" s="182" t="s">
        <v>438</v>
      </c>
      <c r="C7" s="183" t="s">
        <v>345</v>
      </c>
      <c r="D7" s="920">
        <v>10643</v>
      </c>
      <c r="E7" s="921">
        <v>12003</v>
      </c>
      <c r="F7" s="921">
        <f>F8+F9+F10</f>
        <v>12700</v>
      </c>
      <c r="G7" s="921">
        <f>G8+G9+G10</f>
        <v>3200</v>
      </c>
      <c r="H7" s="921">
        <f>H8+H9+H10</f>
        <v>3150</v>
      </c>
      <c r="I7" s="921">
        <f>I8+I9+I10</f>
        <v>3050</v>
      </c>
      <c r="J7" s="921">
        <f>J8+J9+J10</f>
        <v>3300</v>
      </c>
      <c r="L7" s="20"/>
    </row>
    <row r="8" spans="1:12" ht="36" customHeight="1">
      <c r="A8" s="184"/>
      <c r="B8" s="7" t="s">
        <v>439</v>
      </c>
      <c r="C8" s="185" t="s">
        <v>345</v>
      </c>
      <c r="D8" s="922">
        <v>336</v>
      </c>
      <c r="E8" s="923">
        <v>60.3</v>
      </c>
      <c r="F8" s="923">
        <v>1200</v>
      </c>
      <c r="G8" s="924">
        <v>300</v>
      </c>
      <c r="H8" s="924">
        <v>300</v>
      </c>
      <c r="I8" s="924">
        <v>300</v>
      </c>
      <c r="J8" s="925">
        <v>300</v>
      </c>
      <c r="L8" s="20"/>
    </row>
    <row r="9" spans="1:12" ht="30.75" customHeight="1">
      <c r="A9" s="184"/>
      <c r="B9" s="7" t="s">
        <v>440</v>
      </c>
      <c r="C9" s="185" t="s">
        <v>345</v>
      </c>
      <c r="D9" s="922">
        <v>44</v>
      </c>
      <c r="E9" s="923">
        <v>0</v>
      </c>
      <c r="F9" s="923">
        <v>1200</v>
      </c>
      <c r="G9" s="924">
        <v>300</v>
      </c>
      <c r="H9" s="924">
        <v>300</v>
      </c>
      <c r="I9" s="924">
        <v>300</v>
      </c>
      <c r="J9" s="925">
        <v>300</v>
      </c>
      <c r="L9" s="20"/>
    </row>
    <row r="10" spans="1:12" ht="30.75" customHeight="1">
      <c r="A10" s="184"/>
      <c r="B10" s="7" t="s">
        <v>441</v>
      </c>
      <c r="C10" s="185" t="s">
        <v>345</v>
      </c>
      <c r="D10" s="922">
        <v>10263</v>
      </c>
      <c r="E10" s="923">
        <v>11943</v>
      </c>
      <c r="F10" s="923">
        <v>10300</v>
      </c>
      <c r="G10" s="924">
        <v>2600</v>
      </c>
      <c r="H10" s="924">
        <v>2550</v>
      </c>
      <c r="I10" s="924">
        <v>2450</v>
      </c>
      <c r="J10" s="925">
        <v>2700</v>
      </c>
      <c r="L10" s="20"/>
    </row>
    <row r="11" spans="1:12" ht="30.75" customHeight="1">
      <c r="A11" s="184">
        <v>2</v>
      </c>
      <c r="B11" s="7" t="s">
        <v>442</v>
      </c>
      <c r="C11" s="185" t="s">
        <v>345</v>
      </c>
      <c r="D11" s="922">
        <v>463</v>
      </c>
      <c r="E11" s="923">
        <v>463</v>
      </c>
      <c r="F11" s="923">
        <v>500</v>
      </c>
      <c r="G11" s="924">
        <v>102</v>
      </c>
      <c r="H11" s="924">
        <v>102</v>
      </c>
      <c r="I11" s="924">
        <v>111</v>
      </c>
      <c r="J11" s="925">
        <v>185</v>
      </c>
      <c r="L11" s="20"/>
    </row>
    <row r="12" spans="1:12" ht="35.25" customHeight="1">
      <c r="A12" s="184">
        <v>3</v>
      </c>
      <c r="B12" s="7" t="s">
        <v>443</v>
      </c>
      <c r="C12" s="185" t="s">
        <v>347</v>
      </c>
      <c r="D12" s="922">
        <v>5</v>
      </c>
      <c r="E12" s="923">
        <v>6</v>
      </c>
      <c r="F12" s="923">
        <v>6</v>
      </c>
      <c r="G12" s="926">
        <v>1.5</v>
      </c>
      <c r="H12" s="926">
        <v>1.5</v>
      </c>
      <c r="I12" s="926">
        <v>1.5</v>
      </c>
      <c r="J12" s="927">
        <v>1.5</v>
      </c>
      <c r="L12" s="20"/>
    </row>
    <row r="13" spans="1:10" ht="31.5">
      <c r="A13" s="184">
        <v>4</v>
      </c>
      <c r="B13" s="7" t="s">
        <v>444</v>
      </c>
      <c r="C13" s="185" t="s">
        <v>445</v>
      </c>
      <c r="D13" s="922">
        <v>124.2</v>
      </c>
      <c r="E13" s="928">
        <v>140.8</v>
      </c>
      <c r="F13" s="928">
        <v>148</v>
      </c>
      <c r="G13" s="926">
        <v>37.3</v>
      </c>
      <c r="H13" s="926">
        <v>36.6</v>
      </c>
      <c r="I13" s="926">
        <v>35.5</v>
      </c>
      <c r="J13" s="927">
        <v>38.6</v>
      </c>
    </row>
    <row r="14" spans="1:10" ht="31.5">
      <c r="A14" s="184">
        <v>5</v>
      </c>
      <c r="B14" s="7" t="s">
        <v>446</v>
      </c>
      <c r="C14" s="185" t="s">
        <v>445</v>
      </c>
      <c r="D14" s="922">
        <v>0.25</v>
      </c>
      <c r="E14" s="929">
        <v>0.6</v>
      </c>
      <c r="F14" s="929">
        <v>0.7</v>
      </c>
      <c r="G14" s="930">
        <v>0.14</v>
      </c>
      <c r="H14" s="930">
        <v>0.16</v>
      </c>
      <c r="I14" s="930">
        <v>0.2</v>
      </c>
      <c r="J14" s="931">
        <v>0.2</v>
      </c>
    </row>
    <row r="15" spans="1:10" ht="16.5" thickBot="1">
      <c r="A15" s="186"/>
      <c r="B15" s="187"/>
      <c r="C15" s="188"/>
      <c r="D15" s="932"/>
      <c r="E15" s="933"/>
      <c r="F15" s="933"/>
      <c r="G15" s="933"/>
      <c r="H15" s="933"/>
      <c r="I15" s="933"/>
      <c r="J15" s="934"/>
    </row>
    <row r="16" spans="4:5" ht="15">
      <c r="D16" s="121"/>
      <c r="E16" s="121"/>
    </row>
    <row r="17" spans="3:10" ht="15">
      <c r="C17" s="1278"/>
      <c r="D17" s="1278"/>
      <c r="E17" s="1278"/>
      <c r="F17" s="1278"/>
      <c r="G17" s="1278"/>
      <c r="H17" s="1278"/>
      <c r="I17" s="1278"/>
      <c r="J17" s="1278"/>
    </row>
    <row r="18" spans="2:6" ht="15">
      <c r="B18" s="137" t="s">
        <v>349</v>
      </c>
      <c r="C18" s="172"/>
      <c r="D18" s="137" t="s">
        <v>1089</v>
      </c>
      <c r="E18" s="174"/>
      <c r="F18" s="138"/>
    </row>
    <row r="19" spans="2:6" ht="15">
      <c r="B19" s="138" t="s">
        <v>351</v>
      </c>
      <c r="C19" s="172"/>
      <c r="D19" s="174"/>
      <c r="E19" s="175"/>
      <c r="F19" s="172"/>
    </row>
    <row r="20" spans="2:6" ht="15">
      <c r="B20" s="172"/>
      <c r="C20" s="172"/>
      <c r="D20" s="175"/>
      <c r="E20" s="137"/>
      <c r="F20" s="137"/>
    </row>
    <row r="21" spans="2:6" ht="15">
      <c r="B21" s="137" t="s">
        <v>1459</v>
      </c>
      <c r="C21" s="172"/>
      <c r="D21" s="137" t="s">
        <v>1462</v>
      </c>
      <c r="E21" s="172"/>
      <c r="F21" s="172"/>
    </row>
    <row r="22" spans="2:6" ht="15">
      <c r="B22" s="172"/>
      <c r="C22" s="172"/>
      <c r="D22" s="172"/>
      <c r="E22" s="137"/>
      <c r="F22" s="137"/>
    </row>
    <row r="23" spans="2:6" ht="15">
      <c r="B23" s="137" t="s">
        <v>1112</v>
      </c>
      <c r="C23" s="172"/>
      <c r="D23" s="137" t="s">
        <v>1090</v>
      </c>
      <c r="E23" s="31"/>
      <c r="F23" s="31"/>
    </row>
  </sheetData>
  <sheetProtection/>
  <mergeCells count="9">
    <mergeCell ref="C17:J17"/>
    <mergeCell ref="A1:J1"/>
    <mergeCell ref="A5:A6"/>
    <mergeCell ref="B5:B6"/>
    <mergeCell ref="C5:C6"/>
    <mergeCell ref="G5:J5"/>
    <mergeCell ref="F5:F6"/>
    <mergeCell ref="D5:D6"/>
    <mergeCell ref="E5:E6"/>
  </mergeCells>
  <printOptions horizontalCentered="1"/>
  <pageMargins left="0" right="0" top="0.82" bottom="0" header="0" footer="0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3"/>
  <sheetViews>
    <sheetView zoomScaleSheetLayoutView="70" zoomScalePageLayoutView="0" workbookViewId="0" topLeftCell="A1">
      <selection activeCell="M19" sqref="M19"/>
    </sheetView>
  </sheetViews>
  <sheetFormatPr defaultColWidth="9.00390625" defaultRowHeight="12.75"/>
  <cols>
    <col min="1" max="1" width="6.25390625" style="19" customWidth="1"/>
    <col min="2" max="2" width="25.875" style="19" customWidth="1"/>
    <col min="3" max="3" width="14.125" style="19" customWidth="1"/>
    <col min="4" max="4" width="9.375" style="19" customWidth="1"/>
    <col min="5" max="5" width="15.25390625" style="19" customWidth="1"/>
    <col min="6" max="6" width="9.875" style="19" customWidth="1"/>
    <col min="7" max="7" width="14.625" style="19" customWidth="1"/>
    <col min="8" max="8" width="9.375" style="19" customWidth="1"/>
    <col min="9" max="9" width="15.00390625" style="19" customWidth="1"/>
    <col min="10" max="10" width="10.25390625" style="19" customWidth="1"/>
    <col min="11" max="11" width="15.75390625" style="19" customWidth="1"/>
    <col min="12" max="12" width="7.625" style="19" customWidth="1"/>
    <col min="13" max="13" width="15.75390625" style="19" customWidth="1"/>
    <col min="14" max="16384" width="9.125" style="19" customWidth="1"/>
  </cols>
  <sheetData>
    <row r="1" spans="2:11" ht="15.75">
      <c r="B1" s="1442"/>
      <c r="C1" s="1442"/>
      <c r="D1" s="1442"/>
      <c r="E1" s="1442"/>
      <c r="F1" s="1442"/>
      <c r="G1" s="1442"/>
      <c r="H1" s="1442"/>
      <c r="I1" s="1442"/>
      <c r="J1" s="1442"/>
      <c r="K1" s="1442"/>
    </row>
    <row r="2" spans="1:36" ht="15.75" customHeight="1">
      <c r="A2" s="1451" t="s">
        <v>1287</v>
      </c>
      <c r="B2" s="1451"/>
      <c r="C2" s="1451"/>
      <c r="D2" s="1451"/>
      <c r="E2" s="1451"/>
      <c r="F2" s="1451"/>
      <c r="G2" s="1451"/>
      <c r="H2" s="1451"/>
      <c r="I2" s="1451"/>
      <c r="J2" s="1451"/>
      <c r="K2" s="1451"/>
      <c r="L2" s="1451"/>
      <c r="M2" s="1451"/>
      <c r="N2" s="1452"/>
      <c r="O2" s="1452"/>
      <c r="P2" s="1452"/>
      <c r="Q2" s="1452"/>
      <c r="R2" s="1452"/>
      <c r="S2" s="1452"/>
      <c r="T2" s="1452"/>
      <c r="U2" s="1452"/>
      <c r="V2" s="1452"/>
      <c r="W2" s="1452"/>
      <c r="X2" s="1452"/>
      <c r="Y2" s="1452"/>
      <c r="Z2" s="1452"/>
      <c r="AA2" s="1452"/>
      <c r="AB2" s="1452"/>
      <c r="AC2" s="1452"/>
      <c r="AD2" s="1452"/>
      <c r="AE2" s="1452"/>
      <c r="AF2" s="1452"/>
      <c r="AG2" s="1452"/>
      <c r="AH2" s="1452"/>
      <c r="AI2" s="1452"/>
      <c r="AJ2" s="1452"/>
    </row>
    <row r="3" spans="2:11" ht="16.5" thickBot="1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ht="42.75" customHeight="1">
      <c r="A4" s="1453" t="s">
        <v>249</v>
      </c>
      <c r="B4" s="1455" t="s">
        <v>259</v>
      </c>
      <c r="C4" s="1455" t="s">
        <v>308</v>
      </c>
      <c r="D4" s="1457" t="s">
        <v>282</v>
      </c>
      <c r="E4" s="1457"/>
      <c r="F4" s="1457" t="s">
        <v>283</v>
      </c>
      <c r="G4" s="1457"/>
      <c r="H4" s="1457" t="s">
        <v>284</v>
      </c>
      <c r="I4" s="1457"/>
      <c r="J4" s="1457" t="s">
        <v>285</v>
      </c>
      <c r="K4" s="1457"/>
      <c r="L4" s="1458" t="s">
        <v>1247</v>
      </c>
      <c r="M4" s="1459"/>
    </row>
    <row r="5" spans="1:13" ht="25.5" customHeight="1" thickBot="1">
      <c r="A5" s="1454"/>
      <c r="B5" s="1456"/>
      <c r="C5" s="1456"/>
      <c r="D5" s="843" t="s">
        <v>1130</v>
      </c>
      <c r="E5" s="843" t="s">
        <v>250</v>
      </c>
      <c r="F5" s="843" t="s">
        <v>1130</v>
      </c>
      <c r="G5" s="843" t="s">
        <v>250</v>
      </c>
      <c r="H5" s="843" t="s">
        <v>1130</v>
      </c>
      <c r="I5" s="843" t="s">
        <v>250</v>
      </c>
      <c r="J5" s="843" t="s">
        <v>1130</v>
      </c>
      <c r="K5" s="843" t="s">
        <v>250</v>
      </c>
      <c r="L5" s="843" t="s">
        <v>1130</v>
      </c>
      <c r="M5" s="844" t="s">
        <v>250</v>
      </c>
    </row>
    <row r="6" spans="1:14" ht="18.75">
      <c r="A6" s="935">
        <v>1</v>
      </c>
      <c r="B6" s="936" t="s">
        <v>447</v>
      </c>
      <c r="C6" s="937"/>
      <c r="D6" s="938">
        <f aca="true" t="shared" si="0" ref="D6:K6">D7+D8+D9</f>
        <v>3200</v>
      </c>
      <c r="E6" s="938">
        <f t="shared" si="0"/>
        <v>18793435.75364078</v>
      </c>
      <c r="F6" s="938">
        <f t="shared" si="0"/>
        <v>3150</v>
      </c>
      <c r="G6" s="938">
        <f t="shared" si="0"/>
        <v>18498855.49635922</v>
      </c>
      <c r="H6" s="938">
        <f t="shared" si="0"/>
        <v>3050</v>
      </c>
      <c r="I6" s="938">
        <f t="shared" si="0"/>
        <v>17909694.981796116</v>
      </c>
      <c r="J6" s="938">
        <f t="shared" si="0"/>
        <v>3300</v>
      </c>
      <c r="K6" s="938">
        <f t="shared" si="0"/>
        <v>19382596.268203884</v>
      </c>
      <c r="L6" s="939">
        <f>D6+F6+H6+J6</f>
        <v>12700</v>
      </c>
      <c r="M6" s="940">
        <f>E6+G6+I6+K6</f>
        <v>74584582.5</v>
      </c>
      <c r="N6" s="778">
        <f>M6-E6-G6-I6-K6</f>
        <v>0</v>
      </c>
    </row>
    <row r="7" spans="1:14" ht="15.75">
      <c r="A7" s="941"/>
      <c r="B7" s="942" t="s">
        <v>439</v>
      </c>
      <c r="C7" s="943">
        <f aca="true" t="shared" si="1" ref="C7:C13">M7/L7</f>
        <v>5785.532916666667</v>
      </c>
      <c r="D7" s="924">
        <v>300</v>
      </c>
      <c r="E7" s="944">
        <f aca="true" t="shared" si="2" ref="E7:E13">D7*C7</f>
        <v>1735659.875</v>
      </c>
      <c r="F7" s="924">
        <v>300</v>
      </c>
      <c r="G7" s="944">
        <f aca="true" t="shared" si="3" ref="G7:G13">F7*C7</f>
        <v>1735659.875</v>
      </c>
      <c r="H7" s="924">
        <v>300</v>
      </c>
      <c r="I7" s="944">
        <f aca="true" t="shared" si="4" ref="I7:I13">H7*C7</f>
        <v>1735659.875</v>
      </c>
      <c r="J7" s="924">
        <v>300</v>
      </c>
      <c r="K7" s="944">
        <f aca="true" t="shared" si="5" ref="K7:K12">C7*J7</f>
        <v>1735659.875</v>
      </c>
      <c r="L7" s="924">
        <f aca="true" t="shared" si="6" ref="L7:L13">D7+F7+H7+J7</f>
        <v>1200</v>
      </c>
      <c r="M7" s="945">
        <v>6942639.5</v>
      </c>
      <c r="N7" s="778">
        <f aca="true" t="shared" si="7" ref="N7:N13">M7-E7-G7-I7-K7</f>
        <v>0</v>
      </c>
    </row>
    <row r="8" spans="1:14" ht="15.75">
      <c r="A8" s="941"/>
      <c r="B8" s="942" t="s">
        <v>440</v>
      </c>
      <c r="C8" s="943">
        <f t="shared" si="1"/>
        <v>5798.675</v>
      </c>
      <c r="D8" s="924">
        <v>300</v>
      </c>
      <c r="E8" s="944">
        <f t="shared" si="2"/>
        <v>1739602.5</v>
      </c>
      <c r="F8" s="924">
        <v>300</v>
      </c>
      <c r="G8" s="944">
        <f t="shared" si="3"/>
        <v>1739602.5</v>
      </c>
      <c r="H8" s="924">
        <v>300</v>
      </c>
      <c r="I8" s="944">
        <f t="shared" si="4"/>
        <v>1739602.5</v>
      </c>
      <c r="J8" s="924">
        <v>300</v>
      </c>
      <c r="K8" s="944">
        <f t="shared" si="5"/>
        <v>1739602.5</v>
      </c>
      <c r="L8" s="924">
        <f t="shared" si="6"/>
        <v>1200</v>
      </c>
      <c r="M8" s="945">
        <v>6958410</v>
      </c>
      <c r="N8" s="778">
        <f t="shared" si="7"/>
        <v>0</v>
      </c>
    </row>
    <row r="9" spans="1:14" ht="15.75">
      <c r="A9" s="941"/>
      <c r="B9" s="942" t="s">
        <v>441</v>
      </c>
      <c r="C9" s="943">
        <f>M9/L9</f>
        <v>5891.605145631068</v>
      </c>
      <c r="D9" s="924">
        <v>2600</v>
      </c>
      <c r="E9" s="944">
        <f t="shared" si="2"/>
        <v>15318173.378640777</v>
      </c>
      <c r="F9" s="924">
        <v>2550</v>
      </c>
      <c r="G9" s="944">
        <f t="shared" si="3"/>
        <v>15023593.121359223</v>
      </c>
      <c r="H9" s="924">
        <v>2450</v>
      </c>
      <c r="I9" s="944">
        <f t="shared" si="4"/>
        <v>14434432.606796116</v>
      </c>
      <c r="J9" s="924">
        <v>2700</v>
      </c>
      <c r="K9" s="944">
        <f t="shared" si="5"/>
        <v>15907333.893203883</v>
      </c>
      <c r="L9" s="924">
        <f>D9+F9+H9+J9</f>
        <v>10300</v>
      </c>
      <c r="M9" s="945">
        <v>60683533</v>
      </c>
      <c r="N9" s="778">
        <f t="shared" si="7"/>
        <v>0</v>
      </c>
    </row>
    <row r="10" spans="1:14" ht="31.5">
      <c r="A10" s="941">
        <v>2</v>
      </c>
      <c r="B10" s="942" t="s">
        <v>1129</v>
      </c>
      <c r="C10" s="943">
        <f t="shared" si="1"/>
        <v>5698</v>
      </c>
      <c r="D10" s="924">
        <v>102</v>
      </c>
      <c r="E10" s="944">
        <f t="shared" si="2"/>
        <v>581196</v>
      </c>
      <c r="F10" s="924">
        <v>102</v>
      </c>
      <c r="G10" s="944">
        <f t="shared" si="3"/>
        <v>581196</v>
      </c>
      <c r="H10" s="924">
        <v>111</v>
      </c>
      <c r="I10" s="944">
        <f t="shared" si="4"/>
        <v>632478</v>
      </c>
      <c r="J10" s="924">
        <v>185</v>
      </c>
      <c r="K10" s="944">
        <f t="shared" si="5"/>
        <v>1054130</v>
      </c>
      <c r="L10" s="924">
        <f t="shared" si="6"/>
        <v>500</v>
      </c>
      <c r="M10" s="945">
        <v>2849000</v>
      </c>
      <c r="N10" s="778">
        <f t="shared" si="7"/>
        <v>0</v>
      </c>
    </row>
    <row r="11" spans="1:14" ht="31.5">
      <c r="A11" s="941">
        <v>3</v>
      </c>
      <c r="B11" s="942" t="s">
        <v>448</v>
      </c>
      <c r="C11" s="943">
        <f t="shared" si="1"/>
        <v>47550</v>
      </c>
      <c r="D11" s="926">
        <v>1.5</v>
      </c>
      <c r="E11" s="944">
        <f t="shared" si="2"/>
        <v>71325</v>
      </c>
      <c r="F11" s="926">
        <v>1.5</v>
      </c>
      <c r="G11" s="944">
        <f t="shared" si="3"/>
        <v>71325</v>
      </c>
      <c r="H11" s="926">
        <v>1.5</v>
      </c>
      <c r="I11" s="944">
        <f t="shared" si="4"/>
        <v>71325</v>
      </c>
      <c r="J11" s="926">
        <v>1.5</v>
      </c>
      <c r="K11" s="944">
        <f t="shared" si="5"/>
        <v>71325</v>
      </c>
      <c r="L11" s="924">
        <f>D11+F11+H11+J11</f>
        <v>6</v>
      </c>
      <c r="M11" s="945">
        <v>285300</v>
      </c>
      <c r="N11" s="778">
        <f t="shared" si="7"/>
        <v>0</v>
      </c>
    </row>
    <row r="12" spans="1:14" ht="15.75">
      <c r="A12" s="941">
        <v>4</v>
      </c>
      <c r="B12" s="942" t="s">
        <v>449</v>
      </c>
      <c r="C12" s="943">
        <f t="shared" si="1"/>
        <v>12000</v>
      </c>
      <c r="D12" s="930">
        <v>37.3</v>
      </c>
      <c r="E12" s="944">
        <f t="shared" si="2"/>
        <v>447599.99999999994</v>
      </c>
      <c r="F12" s="930">
        <v>36.6</v>
      </c>
      <c r="G12" s="944">
        <f t="shared" si="3"/>
        <v>439200</v>
      </c>
      <c r="H12" s="930">
        <v>35.5</v>
      </c>
      <c r="I12" s="944">
        <f t="shared" si="4"/>
        <v>426000</v>
      </c>
      <c r="J12" s="930">
        <v>38.6</v>
      </c>
      <c r="K12" s="944">
        <f t="shared" si="5"/>
        <v>463200</v>
      </c>
      <c r="L12" s="930">
        <f>D12+F12+H12+J12</f>
        <v>148</v>
      </c>
      <c r="M12" s="945">
        <v>1776000</v>
      </c>
      <c r="N12" s="778">
        <f t="shared" si="7"/>
        <v>0</v>
      </c>
    </row>
    <row r="13" spans="1:14" ht="15.75">
      <c r="A13" s="941">
        <v>5</v>
      </c>
      <c r="B13" s="942" t="s">
        <v>450</v>
      </c>
      <c r="C13" s="943">
        <f t="shared" si="1"/>
        <v>43470</v>
      </c>
      <c r="D13" s="930">
        <v>0.14</v>
      </c>
      <c r="E13" s="944">
        <f t="shared" si="2"/>
        <v>6085.8</v>
      </c>
      <c r="F13" s="930">
        <v>0.16</v>
      </c>
      <c r="G13" s="944">
        <f t="shared" si="3"/>
        <v>6955.2</v>
      </c>
      <c r="H13" s="930">
        <v>0.2</v>
      </c>
      <c r="I13" s="944">
        <f t="shared" si="4"/>
        <v>8694</v>
      </c>
      <c r="J13" s="946">
        <v>0.2</v>
      </c>
      <c r="K13" s="944">
        <f>J13*C13</f>
        <v>8694</v>
      </c>
      <c r="L13" s="930">
        <f t="shared" si="6"/>
        <v>0.7</v>
      </c>
      <c r="M13" s="945">
        <v>30429</v>
      </c>
      <c r="N13" s="778">
        <f t="shared" si="7"/>
        <v>0</v>
      </c>
    </row>
    <row r="14" spans="1:13" ht="16.5" thickBot="1">
      <c r="A14" s="947"/>
      <c r="B14" s="948" t="s">
        <v>258</v>
      </c>
      <c r="C14" s="949"/>
      <c r="D14" s="949"/>
      <c r="E14" s="950">
        <f>SUM(E7:E13)</f>
        <v>19899642.55364078</v>
      </c>
      <c r="F14" s="949"/>
      <c r="G14" s="950">
        <f>SUM(G7:G13)</f>
        <v>19597531.69635922</v>
      </c>
      <c r="H14" s="949"/>
      <c r="I14" s="950">
        <f>SUM(I7:I13)</f>
        <v>19048191.981796116</v>
      </c>
      <c r="J14" s="949"/>
      <c r="K14" s="950">
        <f>SUM(K7:K13)</f>
        <v>20979945.268203884</v>
      </c>
      <c r="L14" s="949"/>
      <c r="M14" s="951">
        <f>SUM(M7:M13)</f>
        <v>79525311.5</v>
      </c>
    </row>
    <row r="16" spans="3:9" ht="15.75">
      <c r="C16" s="655"/>
      <c r="D16" s="655"/>
      <c r="E16" s="122"/>
      <c r="F16" s="655"/>
      <c r="G16" s="655"/>
      <c r="H16" s="655"/>
      <c r="I16" s="655"/>
    </row>
    <row r="17" spans="3:9" ht="18.75">
      <c r="C17" s="1331" t="s">
        <v>349</v>
      </c>
      <c r="D17" s="1331"/>
      <c r="E17" s="1331"/>
      <c r="F17" s="322"/>
      <c r="G17" s="656" t="s">
        <v>1092</v>
      </c>
      <c r="H17" s="655"/>
      <c r="I17" s="655"/>
    </row>
    <row r="18" spans="3:9" ht="15.75">
      <c r="C18" s="156" t="s">
        <v>351</v>
      </c>
      <c r="D18" s="154"/>
      <c r="E18" s="157"/>
      <c r="F18" s="156"/>
      <c r="G18" s="655"/>
      <c r="H18" s="655"/>
      <c r="I18" s="655"/>
    </row>
    <row r="19" spans="3:9" ht="15.75">
      <c r="C19" s="154"/>
      <c r="D19" s="154"/>
      <c r="E19" s="158"/>
      <c r="F19" s="154"/>
      <c r="G19" s="655"/>
      <c r="H19" s="655"/>
      <c r="I19" s="655"/>
    </row>
    <row r="20" spans="3:9" ht="15.75">
      <c r="C20" s="153" t="s">
        <v>1459</v>
      </c>
      <c r="D20" s="154"/>
      <c r="E20" s="153" t="s">
        <v>1463</v>
      </c>
      <c r="F20" s="153"/>
      <c r="G20" s="655"/>
      <c r="H20" s="655"/>
      <c r="I20" s="655"/>
    </row>
    <row r="21" spans="3:9" ht="15.75">
      <c r="C21" s="154"/>
      <c r="D21" s="154"/>
      <c r="E21" s="154"/>
      <c r="F21" s="154"/>
      <c r="G21" s="655"/>
      <c r="H21" s="655"/>
      <c r="I21" s="655"/>
    </row>
    <row r="22" spans="3:9" ht="15.75">
      <c r="C22" s="153" t="s">
        <v>1112</v>
      </c>
      <c r="D22" s="154"/>
      <c r="E22" s="153" t="s">
        <v>1091</v>
      </c>
      <c r="F22" s="153"/>
      <c r="G22" s="655"/>
      <c r="H22" s="655"/>
      <c r="I22" s="655"/>
    </row>
    <row r="23" spans="3:6" ht="15">
      <c r="C23" s="53"/>
      <c r="D23" s="31"/>
      <c r="E23" s="31"/>
      <c r="F23" s="31"/>
    </row>
  </sheetData>
  <sheetProtection/>
  <mergeCells count="12">
    <mergeCell ref="H4:I4"/>
    <mergeCell ref="J4:K4"/>
    <mergeCell ref="B1:K1"/>
    <mergeCell ref="A2:M2"/>
    <mergeCell ref="C17:E17"/>
    <mergeCell ref="N2:AJ2"/>
    <mergeCell ref="A4:A5"/>
    <mergeCell ref="B4:B5"/>
    <mergeCell ref="C4:C5"/>
    <mergeCell ref="D4:E4"/>
    <mergeCell ref="L4:M4"/>
    <mergeCell ref="F4:G4"/>
  </mergeCells>
  <printOptions horizontalCentered="1"/>
  <pageMargins left="0" right="0" top="0.7480314960629921" bottom="0" header="0" footer="0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M6"/>
  <sheetViews>
    <sheetView zoomScaleSheetLayoutView="85" zoomScalePageLayoutView="0" workbookViewId="0" topLeftCell="B1">
      <selection activeCell="D4" sqref="D3:F4"/>
    </sheetView>
  </sheetViews>
  <sheetFormatPr defaultColWidth="9.00390625" defaultRowHeight="12.75"/>
  <cols>
    <col min="1" max="1" width="17.375" style="3" hidden="1" customWidth="1"/>
    <col min="2" max="2" width="12.625" style="3" customWidth="1"/>
    <col min="3" max="3" width="11.875" style="3" customWidth="1"/>
    <col min="4" max="4" width="15.625" style="2" customWidth="1"/>
    <col min="5" max="5" width="12.125" style="2" customWidth="1"/>
    <col min="6" max="6" width="12.00390625" style="3" customWidth="1"/>
    <col min="7" max="16384" width="9.125" style="3" customWidth="1"/>
  </cols>
  <sheetData>
    <row r="1" spans="1:13" ht="48.75" customHeight="1">
      <c r="A1" s="1467" t="s">
        <v>286</v>
      </c>
      <c r="B1" s="1467"/>
      <c r="C1" s="1467"/>
      <c r="D1" s="1467"/>
      <c r="E1" s="1467"/>
      <c r="F1" s="1467"/>
      <c r="G1" s="1"/>
      <c r="H1" s="1"/>
      <c r="I1" s="1"/>
      <c r="J1" s="1"/>
      <c r="K1" s="1"/>
      <c r="L1" s="1"/>
      <c r="M1" s="1"/>
    </row>
    <row r="2" ht="13.5" thickBot="1">
      <c r="F2" s="2" t="s">
        <v>264</v>
      </c>
    </row>
    <row r="3" spans="1:6" ht="22.5" customHeight="1">
      <c r="A3" s="1465" t="s">
        <v>311</v>
      </c>
      <c r="B3" s="1463" t="s">
        <v>452</v>
      </c>
      <c r="C3" s="1463" t="s">
        <v>52</v>
      </c>
      <c r="D3" s="1462" t="s">
        <v>314</v>
      </c>
      <c r="E3" s="1462"/>
      <c r="F3" s="1460" t="s">
        <v>310</v>
      </c>
    </row>
    <row r="4" spans="1:6" ht="56.25" customHeight="1" thickBot="1">
      <c r="A4" s="1466"/>
      <c r="B4" s="1464"/>
      <c r="C4" s="1464"/>
      <c r="D4" s="193" t="s">
        <v>312</v>
      </c>
      <c r="E4" s="193" t="s">
        <v>313</v>
      </c>
      <c r="F4" s="1461"/>
    </row>
    <row r="5" spans="1:6" ht="28.5" customHeight="1">
      <c r="A5" s="194" t="s">
        <v>451</v>
      </c>
      <c r="B5" s="189">
        <v>5460000</v>
      </c>
      <c r="C5" s="190">
        <v>0.12</v>
      </c>
      <c r="D5" s="191">
        <v>1680000</v>
      </c>
      <c r="E5" s="191">
        <v>564112</v>
      </c>
      <c r="F5" s="195">
        <f>B5-D5</f>
        <v>3780000</v>
      </c>
    </row>
    <row r="6" spans="1:6" ht="24" customHeight="1" thickBot="1">
      <c r="A6" s="192" t="s">
        <v>258</v>
      </c>
      <c r="B6" s="196">
        <f>SUM(B5)</f>
        <v>5460000</v>
      </c>
      <c r="C6" s="197"/>
      <c r="D6" s="196">
        <f>SUM(D5)</f>
        <v>1680000</v>
      </c>
      <c r="E6" s="196">
        <f>SUM(E5)</f>
        <v>564112</v>
      </c>
      <c r="F6" s="198">
        <f>SUM(F5)</f>
        <v>3780000</v>
      </c>
    </row>
  </sheetData>
  <sheetProtection/>
  <mergeCells count="6">
    <mergeCell ref="F3:F4"/>
    <mergeCell ref="D3:E3"/>
    <mergeCell ref="B3:B4"/>
    <mergeCell ref="A3:A4"/>
    <mergeCell ref="C3:C4"/>
    <mergeCell ref="A1:F1"/>
  </mergeCells>
  <printOptions horizontalCentered="1"/>
  <pageMargins left="0.5511811023622047" right="0.4330708661417323" top="0.31496062992125984" bottom="0.1968503937007874" header="0" footer="0.35433070866141736"/>
  <pageSetup horizontalDpi="200" verticalDpi="2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4"/>
  <sheetViews>
    <sheetView zoomScalePageLayoutView="0" workbookViewId="0" topLeftCell="A36">
      <selection activeCell="F65" sqref="F65"/>
    </sheetView>
  </sheetViews>
  <sheetFormatPr defaultColWidth="9.00390625" defaultRowHeight="12.75"/>
  <cols>
    <col min="1" max="1" width="50.25390625" style="0" customWidth="1"/>
    <col min="3" max="3" width="9.75390625" style="0" customWidth="1"/>
    <col min="4" max="4" width="12.875" style="0" customWidth="1"/>
    <col min="5" max="5" width="16.25390625" style="0" customWidth="1"/>
    <col min="6" max="6" width="16.375" style="0" customWidth="1"/>
  </cols>
  <sheetData>
    <row r="1" spans="1:6" ht="15.75">
      <c r="A1" s="1468" t="s">
        <v>491</v>
      </c>
      <c r="B1" s="1468"/>
      <c r="C1" s="1468"/>
      <c r="D1" s="1468"/>
      <c r="E1" s="1468"/>
      <c r="F1" s="1468"/>
    </row>
    <row r="2" spans="1:6" ht="14.25">
      <c r="A2" s="1469" t="s">
        <v>492</v>
      </c>
      <c r="B2" s="1469"/>
      <c r="C2" s="1469"/>
      <c r="D2" s="1469"/>
      <c r="E2" s="1469"/>
      <c r="F2" s="1469"/>
    </row>
    <row r="3" spans="1:6" ht="28.5">
      <c r="A3" s="242" t="s">
        <v>493</v>
      </c>
      <c r="B3" s="242" t="s">
        <v>263</v>
      </c>
      <c r="C3" s="243" t="s">
        <v>494</v>
      </c>
      <c r="D3" s="244" t="s">
        <v>495</v>
      </c>
      <c r="E3" s="244" t="s">
        <v>496</v>
      </c>
      <c r="F3" s="245" t="s">
        <v>497</v>
      </c>
    </row>
    <row r="4" spans="1:6" ht="18" customHeight="1">
      <c r="A4" s="124" t="s">
        <v>498</v>
      </c>
      <c r="B4" s="23"/>
      <c r="C4" s="199"/>
      <c r="D4" s="246"/>
      <c r="E4" s="247">
        <f>E25</f>
        <v>21203812.268069997</v>
      </c>
      <c r="F4" s="270">
        <f>E4/58916052</f>
        <v>0.35989872960377584</v>
      </c>
    </row>
    <row r="5" spans="1:6" ht="15.75" customHeight="1">
      <c r="A5" s="124" t="s">
        <v>499</v>
      </c>
      <c r="B5" s="23"/>
      <c r="C5" s="199"/>
      <c r="D5" s="248"/>
      <c r="E5" s="247"/>
      <c r="F5" s="270"/>
    </row>
    <row r="6" spans="1:6" ht="15">
      <c r="A6" s="25"/>
      <c r="B6" s="249"/>
      <c r="C6" s="250"/>
      <c r="D6" s="251"/>
      <c r="E6" s="252"/>
      <c r="F6" s="270"/>
    </row>
    <row r="7" spans="1:6" ht="21" customHeight="1">
      <c r="A7" s="124" t="s">
        <v>500</v>
      </c>
      <c r="B7" s="23"/>
      <c r="C7" s="952"/>
      <c r="D7" s="953"/>
      <c r="E7" s="954"/>
      <c r="F7" s="955"/>
    </row>
    <row r="8" spans="1:6" ht="15">
      <c r="A8" s="25" t="s">
        <v>501</v>
      </c>
      <c r="B8" s="249" t="s">
        <v>502</v>
      </c>
      <c r="C8" s="956">
        <v>31.63</v>
      </c>
      <c r="D8" s="953">
        <v>669900.89</v>
      </c>
      <c r="E8" s="957">
        <f>C8*D8</f>
        <v>21188965.1507</v>
      </c>
      <c r="F8" s="958">
        <f>E8/58916052</f>
        <v>0.3596467249825226</v>
      </c>
    </row>
    <row r="9" spans="1:6" ht="18" customHeight="1">
      <c r="A9" s="25" t="s">
        <v>503</v>
      </c>
      <c r="B9" s="249" t="s">
        <v>502</v>
      </c>
      <c r="C9" s="959">
        <v>6.85</v>
      </c>
      <c r="D9" s="953">
        <v>50774.69</v>
      </c>
      <c r="E9" s="957">
        <f aca="true" t="shared" si="0" ref="E9:E18">C9*D9</f>
        <v>347806.6265</v>
      </c>
      <c r="F9" s="958">
        <f aca="true" t="shared" si="1" ref="F9:F56">E9/58916052</f>
        <v>0.005903427244242367</v>
      </c>
    </row>
    <row r="10" spans="1:6" ht="17.25" customHeight="1">
      <c r="A10" s="25" t="s">
        <v>504</v>
      </c>
      <c r="B10" s="249" t="s">
        <v>502</v>
      </c>
      <c r="C10" s="959">
        <v>16.094</v>
      </c>
      <c r="D10" s="953">
        <v>50774.69</v>
      </c>
      <c r="E10" s="957">
        <f t="shared" si="0"/>
        <v>817167.8608600001</v>
      </c>
      <c r="F10" s="958">
        <f t="shared" si="1"/>
        <v>0.013870037674282725</v>
      </c>
    </row>
    <row r="11" spans="1:6" ht="15">
      <c r="A11" s="25" t="s">
        <v>505</v>
      </c>
      <c r="B11" s="249" t="s">
        <v>502</v>
      </c>
      <c r="C11" s="959">
        <v>1.381</v>
      </c>
      <c r="D11" s="953">
        <v>236948.53</v>
      </c>
      <c r="E11" s="957">
        <f t="shared" si="0"/>
        <v>327225.91993</v>
      </c>
      <c r="F11" s="958">
        <f t="shared" si="1"/>
        <v>0.0055541046764301175</v>
      </c>
    </row>
    <row r="12" spans="1:6" ht="17.25" customHeight="1">
      <c r="A12" s="25" t="s">
        <v>506</v>
      </c>
      <c r="B12" s="249" t="s">
        <v>502</v>
      </c>
      <c r="C12" s="959">
        <v>0.866</v>
      </c>
      <c r="D12" s="953">
        <v>301263.13</v>
      </c>
      <c r="E12" s="957">
        <f t="shared" si="0"/>
        <v>260893.87058</v>
      </c>
      <c r="F12" s="958">
        <f t="shared" si="1"/>
        <v>0.004428230706633228</v>
      </c>
    </row>
    <row r="13" spans="1:6" ht="19.5" customHeight="1">
      <c r="A13" s="25" t="s">
        <v>507</v>
      </c>
      <c r="B13" s="249" t="s">
        <v>502</v>
      </c>
      <c r="C13" s="959">
        <v>0.262</v>
      </c>
      <c r="D13" s="953">
        <v>828000</v>
      </c>
      <c r="E13" s="957">
        <f t="shared" si="0"/>
        <v>216936</v>
      </c>
      <c r="F13" s="958">
        <f t="shared" si="1"/>
        <v>0.003682120451655518</v>
      </c>
    </row>
    <row r="14" spans="1:6" ht="18" customHeight="1">
      <c r="A14" s="25" t="s">
        <v>508</v>
      </c>
      <c r="B14" s="249" t="s">
        <v>502</v>
      </c>
      <c r="C14" s="956">
        <v>29.32</v>
      </c>
      <c r="D14" s="953">
        <v>82.61</v>
      </c>
      <c r="E14" s="957">
        <f t="shared" si="0"/>
        <v>2422.1252</v>
      </c>
      <c r="F14" s="958">
        <f t="shared" si="1"/>
        <v>4.111146483474487E-05</v>
      </c>
    </row>
    <row r="15" spans="1:6" ht="18" customHeight="1">
      <c r="A15" s="25" t="s">
        <v>509</v>
      </c>
      <c r="B15" s="249" t="s">
        <v>502</v>
      </c>
      <c r="C15" s="956">
        <v>13.4</v>
      </c>
      <c r="D15" s="953">
        <v>1950</v>
      </c>
      <c r="E15" s="957">
        <f t="shared" si="0"/>
        <v>26130</v>
      </c>
      <c r="F15" s="958">
        <f t="shared" si="1"/>
        <v>0.00044351240643212143</v>
      </c>
    </row>
    <row r="16" spans="1:6" ht="17.25" customHeight="1">
      <c r="A16" s="25" t="s">
        <v>510</v>
      </c>
      <c r="B16" s="249" t="s">
        <v>502</v>
      </c>
      <c r="C16" s="956">
        <v>36.65</v>
      </c>
      <c r="D16" s="953">
        <v>529.25</v>
      </c>
      <c r="E16" s="957">
        <f t="shared" si="0"/>
        <v>19397.0125</v>
      </c>
      <c r="F16" s="958">
        <f t="shared" si="1"/>
        <v>0.0003292313697462281</v>
      </c>
    </row>
    <row r="17" spans="1:6" ht="18" customHeight="1">
      <c r="A17" s="25" t="s">
        <v>511</v>
      </c>
      <c r="B17" s="249" t="s">
        <v>502</v>
      </c>
      <c r="C17" s="956">
        <v>9.42</v>
      </c>
      <c r="D17" s="953">
        <v>1028.79</v>
      </c>
      <c r="E17" s="957">
        <f t="shared" si="0"/>
        <v>9691.201799999999</v>
      </c>
      <c r="F17" s="958">
        <f t="shared" si="1"/>
        <v>0.00016449170423028344</v>
      </c>
    </row>
    <row r="18" spans="1:6" ht="20.25" customHeight="1">
      <c r="A18" s="25" t="s">
        <v>512</v>
      </c>
      <c r="B18" s="249" t="s">
        <v>502</v>
      </c>
      <c r="C18" s="960">
        <v>0.1047</v>
      </c>
      <c r="D18" s="953">
        <v>345000</v>
      </c>
      <c r="E18" s="957">
        <f t="shared" si="0"/>
        <v>36121.5</v>
      </c>
      <c r="F18" s="958">
        <f t="shared" si="1"/>
        <v>0.000613101162990351</v>
      </c>
    </row>
    <row r="19" spans="1:6" ht="17.25" customHeight="1">
      <c r="A19" s="177" t="s">
        <v>513</v>
      </c>
      <c r="B19" s="249" t="s">
        <v>514</v>
      </c>
      <c r="C19" s="960"/>
      <c r="D19" s="953"/>
      <c r="E19" s="954">
        <v>-2048945</v>
      </c>
      <c r="F19" s="955">
        <f t="shared" si="1"/>
        <v>-0.03477736424022438</v>
      </c>
    </row>
    <row r="20" spans="1:6" ht="17.25" customHeight="1">
      <c r="A20" s="124" t="s">
        <v>515</v>
      </c>
      <c r="B20" s="23"/>
      <c r="C20" s="952"/>
      <c r="D20" s="953"/>
      <c r="E20" s="954"/>
      <c r="F20" s="958">
        <f t="shared" si="1"/>
        <v>0</v>
      </c>
    </row>
    <row r="21" spans="1:6" ht="14.25" customHeight="1">
      <c r="A21" s="124" t="s">
        <v>516</v>
      </c>
      <c r="B21" s="23"/>
      <c r="C21" s="952"/>
      <c r="D21" s="953"/>
      <c r="E21" s="954"/>
      <c r="F21" s="958">
        <f t="shared" si="1"/>
        <v>0</v>
      </c>
    </row>
    <row r="22" spans="1:6" ht="15" customHeight="1">
      <c r="A22" s="25"/>
      <c r="B22" s="249" t="s">
        <v>517</v>
      </c>
      <c r="C22" s="957"/>
      <c r="D22" s="953"/>
      <c r="E22" s="957"/>
      <c r="F22" s="958">
        <f t="shared" si="1"/>
        <v>0</v>
      </c>
    </row>
    <row r="23" spans="1:6" ht="15.75" customHeight="1">
      <c r="A23" s="124" t="s">
        <v>518</v>
      </c>
      <c r="B23" s="23"/>
      <c r="C23" s="952"/>
      <c r="D23" s="953"/>
      <c r="E23" s="954"/>
      <c r="F23" s="958">
        <f t="shared" si="1"/>
        <v>0</v>
      </c>
    </row>
    <row r="24" spans="1:6" ht="15">
      <c r="A24" s="25"/>
      <c r="B24" s="249" t="s">
        <v>517</v>
      </c>
      <c r="C24" s="957"/>
      <c r="D24" s="953"/>
      <c r="E24" s="957"/>
      <c r="F24" s="958">
        <f t="shared" si="1"/>
        <v>0</v>
      </c>
    </row>
    <row r="25" spans="1:6" ht="17.25" customHeight="1">
      <c r="A25" s="124" t="s">
        <v>519</v>
      </c>
      <c r="B25" s="23"/>
      <c r="C25" s="961"/>
      <c r="D25" s="962"/>
      <c r="E25" s="963">
        <f>SUM(E8:E24)</f>
        <v>21203812.268069997</v>
      </c>
      <c r="F25" s="955">
        <f t="shared" si="1"/>
        <v>0.35989872960377584</v>
      </c>
    </row>
    <row r="26" spans="1:6" ht="18.75" customHeight="1">
      <c r="A26" s="253" t="s">
        <v>520</v>
      </c>
      <c r="B26" s="254"/>
      <c r="C26" s="964"/>
      <c r="D26" s="965"/>
      <c r="E26" s="966">
        <f>E27+E28+E29+E30+E31</f>
        <v>4284055.5627</v>
      </c>
      <c r="F26" s="955">
        <f t="shared" si="1"/>
        <v>0.07271457297749685</v>
      </c>
    </row>
    <row r="27" spans="1:6" ht="15.75" customHeight="1">
      <c r="A27" s="255" t="s">
        <v>521</v>
      </c>
      <c r="B27" s="256" t="s">
        <v>522</v>
      </c>
      <c r="C27" s="967">
        <v>4200</v>
      </c>
      <c r="D27" s="968">
        <v>196.86</v>
      </c>
      <c r="E27" s="957">
        <f>C27*D27</f>
        <v>826812</v>
      </c>
      <c r="F27" s="958">
        <f t="shared" si="1"/>
        <v>0.014033730569726566</v>
      </c>
    </row>
    <row r="28" spans="1:6" ht="18" customHeight="1">
      <c r="A28" s="257" t="s">
        <v>523</v>
      </c>
      <c r="B28" s="249" t="s">
        <v>524</v>
      </c>
      <c r="C28" s="969">
        <v>48.73</v>
      </c>
      <c r="D28" s="968">
        <v>42874.91</v>
      </c>
      <c r="E28" s="957">
        <f>C28*D28</f>
        <v>2089294.3643</v>
      </c>
      <c r="F28" s="958">
        <f t="shared" si="1"/>
        <v>0.03546222622486653</v>
      </c>
    </row>
    <row r="29" spans="1:6" ht="15">
      <c r="A29" s="257" t="s">
        <v>525</v>
      </c>
      <c r="B29" s="249" t="s">
        <v>526</v>
      </c>
      <c r="C29" s="969">
        <v>584.45</v>
      </c>
      <c r="D29" s="968">
        <v>350.36</v>
      </c>
      <c r="E29" s="957">
        <f>C29*D29</f>
        <v>204767.90200000003</v>
      </c>
      <c r="F29" s="958">
        <f t="shared" si="1"/>
        <v>0.003475587637813885</v>
      </c>
    </row>
    <row r="30" spans="1:6" ht="19.5" customHeight="1">
      <c r="A30" s="257" t="s">
        <v>527</v>
      </c>
      <c r="B30" s="249" t="s">
        <v>526</v>
      </c>
      <c r="C30" s="969">
        <v>169.48</v>
      </c>
      <c r="D30" s="968">
        <v>1559.43</v>
      </c>
      <c r="E30" s="957">
        <f>C30*D30</f>
        <v>264292.1964</v>
      </c>
      <c r="F30" s="958">
        <f t="shared" si="1"/>
        <v>0.004485911520344235</v>
      </c>
    </row>
    <row r="31" spans="1:6" ht="19.5" customHeight="1">
      <c r="A31" s="257" t="s">
        <v>528</v>
      </c>
      <c r="B31" s="249" t="s">
        <v>529</v>
      </c>
      <c r="C31" s="969">
        <v>10</v>
      </c>
      <c r="D31" s="968">
        <v>89888.91</v>
      </c>
      <c r="E31" s="957">
        <f>C31*D31</f>
        <v>898889.1000000001</v>
      </c>
      <c r="F31" s="958">
        <f t="shared" si="1"/>
        <v>0.015257117024745652</v>
      </c>
    </row>
    <row r="32" spans="1:6" ht="17.25" customHeight="1">
      <c r="A32" s="258" t="s">
        <v>530</v>
      </c>
      <c r="B32" s="254"/>
      <c r="C32" s="964"/>
      <c r="D32" s="970"/>
      <c r="E32" s="966">
        <f>E33+E34+E36+E38</f>
        <v>5168188</v>
      </c>
      <c r="F32" s="955">
        <f t="shared" si="1"/>
        <v>0.08772122069550757</v>
      </c>
    </row>
    <row r="33" spans="1:6" ht="45" customHeight="1">
      <c r="A33" s="255" t="s">
        <v>531</v>
      </c>
      <c r="B33" s="259" t="s">
        <v>514</v>
      </c>
      <c r="C33" s="971"/>
      <c r="D33" s="971"/>
      <c r="E33" s="972">
        <v>1085372</v>
      </c>
      <c r="F33" s="958">
        <f t="shared" si="1"/>
        <v>0.018422347783928223</v>
      </c>
    </row>
    <row r="34" spans="1:6" ht="32.25" customHeight="1">
      <c r="A34" s="255" t="s">
        <v>532</v>
      </c>
      <c r="B34" s="259" t="s">
        <v>514</v>
      </c>
      <c r="C34" s="971"/>
      <c r="D34" s="971"/>
      <c r="E34" s="972">
        <v>307835</v>
      </c>
      <c r="F34" s="958">
        <f t="shared" si="1"/>
        <v>0.005224976717720325</v>
      </c>
    </row>
    <row r="35" spans="1:6" ht="20.25" customHeight="1">
      <c r="A35" s="255" t="s">
        <v>533</v>
      </c>
      <c r="B35" s="259" t="s">
        <v>514</v>
      </c>
      <c r="C35" s="971"/>
      <c r="D35" s="971"/>
      <c r="E35" s="972"/>
      <c r="F35" s="958">
        <f t="shared" si="1"/>
        <v>0</v>
      </c>
    </row>
    <row r="36" spans="1:6" ht="22.5" customHeight="1">
      <c r="A36" s="255" t="s">
        <v>534</v>
      </c>
      <c r="B36" s="259" t="s">
        <v>514</v>
      </c>
      <c r="C36" s="971"/>
      <c r="D36" s="971"/>
      <c r="E36" s="972">
        <v>115085</v>
      </c>
      <c r="F36" s="958">
        <f t="shared" si="1"/>
        <v>0.0019533725715361917</v>
      </c>
    </row>
    <row r="37" spans="1:6" ht="21" customHeight="1">
      <c r="A37" s="255" t="s">
        <v>535</v>
      </c>
      <c r="B37" s="259" t="s">
        <v>514</v>
      </c>
      <c r="C37" s="971"/>
      <c r="D37" s="971"/>
      <c r="E37" s="972"/>
      <c r="F37" s="958">
        <f t="shared" si="1"/>
        <v>0</v>
      </c>
    </row>
    <row r="38" spans="1:6" ht="19.5" customHeight="1">
      <c r="A38" s="260" t="s">
        <v>536</v>
      </c>
      <c r="B38" s="259"/>
      <c r="C38" s="971"/>
      <c r="D38" s="971"/>
      <c r="E38" s="972">
        <v>3659896</v>
      </c>
      <c r="F38" s="958">
        <f t="shared" si="1"/>
        <v>0.06212052362232283</v>
      </c>
    </row>
    <row r="39" spans="1:6" ht="18.75" customHeight="1">
      <c r="A39" s="261" t="s">
        <v>537</v>
      </c>
      <c r="B39" s="259" t="s">
        <v>514</v>
      </c>
      <c r="C39" s="971"/>
      <c r="D39" s="971"/>
      <c r="E39" s="972">
        <v>4378466</v>
      </c>
      <c r="F39" s="958">
        <f t="shared" si="1"/>
        <v>0.07431702993269135</v>
      </c>
    </row>
    <row r="40" spans="1:6" ht="19.5" customHeight="1">
      <c r="A40" s="262" t="s">
        <v>538</v>
      </c>
      <c r="B40" s="263"/>
      <c r="C40" s="971"/>
      <c r="D40" s="971"/>
      <c r="E40" s="973">
        <f>E25+E26+E32+E39</f>
        <v>35034521.83077</v>
      </c>
      <c r="F40" s="955">
        <f t="shared" si="1"/>
        <v>0.5946515532094717</v>
      </c>
    </row>
    <row r="41" spans="1:6" ht="17.25" customHeight="1">
      <c r="A41" s="264" t="s">
        <v>539</v>
      </c>
      <c r="B41" s="265"/>
      <c r="C41" s="970"/>
      <c r="D41" s="970"/>
      <c r="E41" s="973">
        <v>2145423</v>
      </c>
      <c r="F41" s="955">
        <f t="shared" si="1"/>
        <v>0.036414914563521666</v>
      </c>
    </row>
    <row r="42" spans="1:6" ht="64.5" customHeight="1">
      <c r="A42" s="266" t="s">
        <v>540</v>
      </c>
      <c r="B42" s="265"/>
      <c r="C42" s="971"/>
      <c r="D42" s="974"/>
      <c r="E42" s="975">
        <v>8233</v>
      </c>
      <c r="F42" s="958">
        <f t="shared" si="1"/>
        <v>0.0001397412032971931</v>
      </c>
    </row>
    <row r="43" spans="1:6" ht="15">
      <c r="A43" s="266" t="s">
        <v>541</v>
      </c>
      <c r="B43" s="265"/>
      <c r="C43" s="971"/>
      <c r="D43" s="971"/>
      <c r="E43" s="975"/>
      <c r="F43" s="958">
        <f t="shared" si="1"/>
        <v>0</v>
      </c>
    </row>
    <row r="44" spans="1:6" ht="21.75" customHeight="1">
      <c r="A44" s="264" t="s">
        <v>542</v>
      </c>
      <c r="B44" s="265"/>
      <c r="C44" s="970"/>
      <c r="D44" s="970"/>
      <c r="E44" s="973">
        <v>105430</v>
      </c>
      <c r="F44" s="955">
        <f t="shared" si="1"/>
        <v>0.0017894953314251268</v>
      </c>
    </row>
    <row r="45" spans="1:6" ht="21.75" customHeight="1">
      <c r="A45" s="266" t="s">
        <v>543</v>
      </c>
      <c r="B45" s="265"/>
      <c r="C45" s="971"/>
      <c r="D45" s="971"/>
      <c r="E45" s="975">
        <v>105430</v>
      </c>
      <c r="F45" s="958">
        <f t="shared" si="1"/>
        <v>0.0017894953314251268</v>
      </c>
    </row>
    <row r="46" spans="1:6" ht="18.75" customHeight="1">
      <c r="A46" s="266" t="s">
        <v>544</v>
      </c>
      <c r="B46" s="265"/>
      <c r="C46" s="971"/>
      <c r="D46" s="971"/>
      <c r="E46" s="975">
        <v>0</v>
      </c>
      <c r="F46" s="958">
        <f t="shared" si="1"/>
        <v>0</v>
      </c>
    </row>
    <row r="47" spans="1:6" ht="21.75" customHeight="1">
      <c r="A47" s="264" t="s">
        <v>545</v>
      </c>
      <c r="B47" s="265"/>
      <c r="C47" s="970"/>
      <c r="D47" s="970"/>
      <c r="E47" s="973">
        <v>3271096</v>
      </c>
      <c r="F47" s="955">
        <f t="shared" si="1"/>
        <v>0.055521303430175535</v>
      </c>
    </row>
    <row r="48" spans="1:6" ht="18" customHeight="1">
      <c r="A48" s="266" t="s">
        <v>546</v>
      </c>
      <c r="B48" s="265"/>
      <c r="C48" s="971"/>
      <c r="D48" s="971"/>
      <c r="E48" s="975">
        <v>2052424</v>
      </c>
      <c r="F48" s="958">
        <f t="shared" si="1"/>
        <v>0.034836414361233844</v>
      </c>
    </row>
    <row r="49" spans="1:6" ht="36.75" customHeight="1">
      <c r="A49" s="266" t="s">
        <v>547</v>
      </c>
      <c r="B49" s="265"/>
      <c r="C49" s="971"/>
      <c r="D49" s="971"/>
      <c r="E49" s="953">
        <v>0</v>
      </c>
      <c r="F49" s="958">
        <f t="shared" si="1"/>
        <v>0</v>
      </c>
    </row>
    <row r="50" spans="1:6" ht="17.25" customHeight="1">
      <c r="A50" s="267" t="s">
        <v>548</v>
      </c>
      <c r="B50" s="265"/>
      <c r="C50" s="971"/>
      <c r="D50" s="971"/>
      <c r="E50" s="975">
        <f>E47-E48</f>
        <v>1218672</v>
      </c>
      <c r="F50" s="958">
        <f t="shared" si="1"/>
        <v>0.020684889068941687</v>
      </c>
    </row>
    <row r="51" spans="1:6" ht="15.75" customHeight="1">
      <c r="A51" s="268" t="s">
        <v>549</v>
      </c>
      <c r="B51" s="265"/>
      <c r="C51" s="970"/>
      <c r="D51" s="970"/>
      <c r="E51" s="973">
        <v>423528</v>
      </c>
      <c r="F51" s="955">
        <f t="shared" si="1"/>
        <v>0.007188669057458229</v>
      </c>
    </row>
    <row r="52" spans="1:6" ht="15.75" customHeight="1">
      <c r="A52" s="268" t="s">
        <v>550</v>
      </c>
      <c r="B52" s="265"/>
      <c r="C52" s="970"/>
      <c r="D52" s="970"/>
      <c r="E52" s="973">
        <v>461410</v>
      </c>
      <c r="F52" s="955">
        <f t="shared" si="1"/>
        <v>0.007831651720315544</v>
      </c>
    </row>
    <row r="53" spans="1:6" ht="16.5" customHeight="1">
      <c r="A53" s="269" t="s">
        <v>551</v>
      </c>
      <c r="B53" s="263"/>
      <c r="C53" s="971"/>
      <c r="D53" s="971"/>
      <c r="E53" s="973">
        <v>2635300</v>
      </c>
      <c r="F53" s="955">
        <f t="shared" si="1"/>
        <v>0.04472974529929467</v>
      </c>
    </row>
    <row r="54" spans="1:6" ht="14.25" customHeight="1">
      <c r="A54" s="269" t="s">
        <v>552</v>
      </c>
      <c r="B54" s="263"/>
      <c r="C54" s="971"/>
      <c r="D54" s="971"/>
      <c r="E54" s="973">
        <f>E40+E41+E44+E47+E51+E53+E52</f>
        <v>44076708.83077</v>
      </c>
      <c r="F54" s="955">
        <f t="shared" si="1"/>
        <v>0.7481273326116624</v>
      </c>
    </row>
    <row r="55" spans="1:6" ht="15">
      <c r="A55" s="269" t="s">
        <v>553</v>
      </c>
      <c r="B55" s="263"/>
      <c r="C55" s="971"/>
      <c r="D55" s="971"/>
      <c r="E55" s="973">
        <v>5020000</v>
      </c>
      <c r="F55" s="955">
        <f t="shared" si="1"/>
        <v>0.08520598087597588</v>
      </c>
    </row>
    <row r="56" spans="1:6" ht="18.75" customHeight="1">
      <c r="A56" s="269" t="s">
        <v>554</v>
      </c>
      <c r="B56" s="263"/>
      <c r="C56" s="971"/>
      <c r="D56" s="971"/>
      <c r="E56" s="973">
        <f>(E54+E55)*1.2+1</f>
        <v>58916051.596924</v>
      </c>
      <c r="F56" s="955">
        <f t="shared" si="1"/>
        <v>0.9999999931584689</v>
      </c>
    </row>
    <row r="58" spans="1:5" ht="12.75">
      <c r="A58" s="137"/>
      <c r="B58" s="137"/>
      <c r="C58" s="137"/>
      <c r="D58" s="137"/>
      <c r="E58" s="137"/>
    </row>
    <row r="59" spans="1:6" ht="15">
      <c r="A59" s="482" t="s">
        <v>349</v>
      </c>
      <c r="B59" s="482"/>
      <c r="C59" s="482" t="s">
        <v>1089</v>
      </c>
      <c r="D59" s="657"/>
      <c r="E59" s="658"/>
      <c r="F59" s="17"/>
    </row>
    <row r="60" spans="1:6" ht="15">
      <c r="A60" s="658" t="s">
        <v>351</v>
      </c>
      <c r="B60" s="482"/>
      <c r="C60" s="657"/>
      <c r="D60" s="659"/>
      <c r="E60" s="482"/>
      <c r="F60" s="17"/>
    </row>
    <row r="61" spans="1:6" ht="15">
      <c r="A61" s="482"/>
      <c r="B61" s="482"/>
      <c r="C61" s="659"/>
      <c r="D61" s="482"/>
      <c r="E61" s="482"/>
      <c r="F61" s="17"/>
    </row>
    <row r="62" spans="1:6" ht="15">
      <c r="A62" s="482" t="s">
        <v>1459</v>
      </c>
      <c r="B62" s="482"/>
      <c r="C62" s="482" t="s">
        <v>1464</v>
      </c>
      <c r="D62" s="482"/>
      <c r="E62" s="482"/>
      <c r="F62" s="17"/>
    </row>
    <row r="63" spans="1:6" ht="15">
      <c r="A63" s="482"/>
      <c r="B63" s="482"/>
      <c r="C63" s="482"/>
      <c r="D63" s="482"/>
      <c r="E63" s="482"/>
      <c r="F63" s="17"/>
    </row>
    <row r="64" spans="1:6" ht="15">
      <c r="A64" s="482" t="s">
        <v>1112</v>
      </c>
      <c r="B64" s="482"/>
      <c r="C64" s="482" t="s">
        <v>1090</v>
      </c>
      <c r="D64" s="660"/>
      <c r="E64" s="660"/>
      <c r="F64" s="17"/>
    </row>
  </sheetData>
  <sheetProtection/>
  <mergeCells count="2">
    <mergeCell ref="A1:F1"/>
    <mergeCell ref="A2:F2"/>
  </mergeCells>
  <printOptions/>
  <pageMargins left="1.3385826771653544" right="0.7086614173228347" top="0.45" bottom="0.4724409448818898" header="0.25" footer="0.31496062992125984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zoomScaleSheetLayoutView="115" zoomScalePageLayoutView="0" workbookViewId="0" topLeftCell="A1">
      <selection activeCell="D16" sqref="D16"/>
    </sheetView>
  </sheetViews>
  <sheetFormatPr defaultColWidth="9.00390625" defaultRowHeight="12.75"/>
  <cols>
    <col min="1" max="1" width="8.00390625" style="21" customWidth="1"/>
    <col min="2" max="2" width="45.625" style="26" customWidth="1"/>
    <col min="3" max="3" width="35.625" style="27" customWidth="1"/>
    <col min="4" max="4" width="24.125" style="22" customWidth="1"/>
    <col min="5" max="5" width="25.125" style="22" customWidth="1"/>
    <col min="6" max="16384" width="9.125" style="22" customWidth="1"/>
  </cols>
  <sheetData>
    <row r="1" spans="2:5" ht="40.5" customHeight="1" thickBot="1">
      <c r="B1" s="1470" t="s">
        <v>1248</v>
      </c>
      <c r="C1" s="1470"/>
      <c r="D1" s="1470"/>
      <c r="E1" s="1470"/>
    </row>
    <row r="2" spans="1:5" ht="28.5">
      <c r="A2" s="200" t="s">
        <v>272</v>
      </c>
      <c r="B2" s="201" t="s">
        <v>76</v>
      </c>
      <c r="C2" s="201" t="s">
        <v>77</v>
      </c>
      <c r="D2" s="202" t="s">
        <v>78</v>
      </c>
      <c r="E2" s="203" t="s">
        <v>103</v>
      </c>
    </row>
    <row r="3" spans="1:5" s="24" customFormat="1" ht="53.25" customHeight="1">
      <c r="A3" s="204" t="s">
        <v>92</v>
      </c>
      <c r="B3" s="87" t="s">
        <v>1256</v>
      </c>
      <c r="C3" s="845" t="s">
        <v>1249</v>
      </c>
      <c r="D3" s="846" t="s">
        <v>453</v>
      </c>
      <c r="E3" s="847">
        <v>1000</v>
      </c>
    </row>
    <row r="4" spans="1:5" s="24" customFormat="1" ht="57.75" customHeight="1">
      <c r="A4" s="205" t="s">
        <v>273</v>
      </c>
      <c r="B4" s="25" t="s">
        <v>455</v>
      </c>
      <c r="C4" s="249" t="s">
        <v>1250</v>
      </c>
      <c r="D4" s="846" t="s">
        <v>756</v>
      </c>
      <c r="E4" s="847">
        <v>874</v>
      </c>
    </row>
    <row r="5" spans="1:5" s="24" customFormat="1" ht="53.25" customHeight="1">
      <c r="A5" s="205" t="s">
        <v>267</v>
      </c>
      <c r="B5" s="87" t="s">
        <v>456</v>
      </c>
      <c r="C5" s="249" t="s">
        <v>1251</v>
      </c>
      <c r="D5" s="846" t="s">
        <v>453</v>
      </c>
      <c r="E5" s="847">
        <v>1000</v>
      </c>
    </row>
    <row r="6" spans="1:5" s="24" customFormat="1" ht="34.5" customHeight="1">
      <c r="A6" s="205" t="s">
        <v>98</v>
      </c>
      <c r="B6" s="87" t="s">
        <v>1252</v>
      </c>
      <c r="C6" s="249" t="s">
        <v>1253</v>
      </c>
      <c r="D6" s="848" t="s">
        <v>754</v>
      </c>
      <c r="E6" s="847">
        <v>250</v>
      </c>
    </row>
    <row r="7" spans="1:5" s="24" customFormat="1" ht="48" customHeight="1">
      <c r="A7" s="849" t="s">
        <v>268</v>
      </c>
      <c r="B7" s="87" t="s">
        <v>1254</v>
      </c>
      <c r="C7" s="850" t="s">
        <v>1255</v>
      </c>
      <c r="D7" s="846" t="s">
        <v>453</v>
      </c>
      <c r="E7" s="851">
        <v>500</v>
      </c>
    </row>
    <row r="8" spans="1:5" s="24" customFormat="1" ht="34.5" customHeight="1" thickBot="1">
      <c r="A8" s="206"/>
      <c r="B8" s="212" t="s">
        <v>258</v>
      </c>
      <c r="C8" s="213"/>
      <c r="D8" s="214"/>
      <c r="E8" s="228">
        <f>SUM(E3:E7)</f>
        <v>3624</v>
      </c>
    </row>
    <row r="9" spans="1:5" s="24" customFormat="1" ht="12" customHeight="1">
      <c r="A9" s="207"/>
      <c r="B9" s="208"/>
      <c r="C9" s="209"/>
      <c r="D9" s="210"/>
      <c r="E9" s="211"/>
    </row>
    <row r="10" spans="1:5" s="24" customFormat="1" ht="12" customHeight="1">
      <c r="A10" s="207"/>
      <c r="B10" s="811"/>
      <c r="C10" s="812"/>
      <c r="D10" s="813"/>
      <c r="E10" s="211"/>
    </row>
    <row r="11" spans="1:5" s="24" customFormat="1" ht="12" customHeight="1">
      <c r="A11" s="207"/>
      <c r="B11" s="137" t="s">
        <v>349</v>
      </c>
      <c r="C11" s="137"/>
      <c r="D11" s="137" t="s">
        <v>350</v>
      </c>
      <c r="E11" s="211"/>
    </row>
    <row r="12" spans="1:5" s="24" customFormat="1" ht="12" customHeight="1">
      <c r="A12" s="207"/>
      <c r="B12" s="138" t="s">
        <v>351</v>
      </c>
      <c r="C12" s="137"/>
      <c r="D12" s="814"/>
      <c r="E12" s="211"/>
    </row>
    <row r="13" spans="2:4" ht="15">
      <c r="B13" s="137"/>
      <c r="C13" s="137"/>
      <c r="D13" s="815"/>
    </row>
    <row r="14" spans="2:4" ht="15">
      <c r="B14" s="137" t="s">
        <v>1459</v>
      </c>
      <c r="C14" s="137"/>
      <c r="D14" s="137" t="s">
        <v>1448</v>
      </c>
    </row>
    <row r="15" spans="2:4" ht="15">
      <c r="B15" s="137"/>
      <c r="C15" s="137"/>
      <c r="D15" s="137"/>
    </row>
    <row r="16" spans="2:4" ht="15">
      <c r="B16" s="137" t="s">
        <v>1112</v>
      </c>
      <c r="C16" s="137"/>
      <c r="D16" s="137" t="s">
        <v>352</v>
      </c>
    </row>
  </sheetData>
  <sheetProtection/>
  <mergeCells count="1">
    <mergeCell ref="B1:E1"/>
  </mergeCells>
  <printOptions/>
  <pageMargins left="0.5905511811023623" right="0.31496062992125984" top="0.5905511811023623" bottom="0.3937007874015748" header="0.31496062992125984" footer="0.1968503937007874"/>
  <pageSetup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H22"/>
  <sheetViews>
    <sheetView zoomScaleSheetLayoutView="115" zoomScalePageLayoutView="0" workbookViewId="0" topLeftCell="A1">
      <selection activeCell="G16" sqref="G16"/>
    </sheetView>
  </sheetViews>
  <sheetFormatPr defaultColWidth="9.00390625" defaultRowHeight="12.75"/>
  <cols>
    <col min="1" max="1" width="4.625" style="21" customWidth="1"/>
    <col min="2" max="2" width="44.875" style="26" customWidth="1"/>
    <col min="3" max="3" width="17.25390625" style="105" customWidth="1"/>
    <col min="4" max="4" width="15.375" style="105" customWidth="1"/>
    <col min="5" max="5" width="17.875" style="105" customWidth="1"/>
    <col min="6" max="6" width="17.625" style="106" customWidth="1"/>
    <col min="7" max="7" width="11.75390625" style="22" customWidth="1"/>
    <col min="8" max="8" width="14.00390625" style="22" customWidth="1"/>
    <col min="9" max="16384" width="9.125" style="22" customWidth="1"/>
  </cols>
  <sheetData>
    <row r="1" spans="1:8" ht="40.5" customHeight="1">
      <c r="A1" s="117"/>
      <c r="B1" s="1473" t="s">
        <v>1288</v>
      </c>
      <c r="C1" s="1473"/>
      <c r="D1" s="1473"/>
      <c r="E1" s="1473"/>
      <c r="F1" s="1473"/>
      <c r="G1" s="1473"/>
      <c r="H1" s="1473"/>
    </row>
    <row r="2" spans="1:8" ht="20.25" customHeight="1" thickBot="1">
      <c r="A2" s="117"/>
      <c r="B2" s="793"/>
      <c r="C2" s="793"/>
      <c r="D2" s="793"/>
      <c r="E2" s="793"/>
      <c r="F2" s="793"/>
      <c r="G2" s="793"/>
      <c r="H2" s="793"/>
    </row>
    <row r="3" spans="1:8" ht="28.5" customHeight="1">
      <c r="A3" s="1474" t="s">
        <v>272</v>
      </c>
      <c r="B3" s="1476" t="s">
        <v>79</v>
      </c>
      <c r="C3" s="1471" t="s">
        <v>1131</v>
      </c>
      <c r="D3" s="1471" t="s">
        <v>82</v>
      </c>
      <c r="E3" s="1471" t="s">
        <v>1132</v>
      </c>
      <c r="F3" s="1471"/>
      <c r="G3" s="1476" t="s">
        <v>1135</v>
      </c>
      <c r="H3" s="1478"/>
    </row>
    <row r="4" spans="1:8" ht="39" thickBot="1">
      <c r="A4" s="1475"/>
      <c r="B4" s="1477"/>
      <c r="C4" s="1472"/>
      <c r="D4" s="1472"/>
      <c r="E4" s="661" t="s">
        <v>472</v>
      </c>
      <c r="F4" s="662" t="s">
        <v>473</v>
      </c>
      <c r="G4" s="663" t="s">
        <v>99</v>
      </c>
      <c r="H4" s="664" t="s">
        <v>80</v>
      </c>
    </row>
    <row r="5" spans="1:8" ht="28.5">
      <c r="A5" s="784"/>
      <c r="B5" s="785" t="s">
        <v>102</v>
      </c>
      <c r="C5" s="976">
        <v>59895693</v>
      </c>
      <c r="D5" s="976">
        <v>9.1</v>
      </c>
      <c r="E5" s="977">
        <v>22623.397</v>
      </c>
      <c r="F5" s="977">
        <f>E5-G5</f>
        <v>20724.997</v>
      </c>
      <c r="G5" s="977">
        <f>G7+G8+G9+G10+G11+G12+G13+G14</f>
        <v>1898.3999999999999</v>
      </c>
      <c r="H5" s="978">
        <f>G5/20725*100</f>
        <v>9.159951749095296</v>
      </c>
    </row>
    <row r="6" spans="1:8" s="24" customFormat="1" ht="15.75" customHeight="1">
      <c r="A6" s="204"/>
      <c r="B6" s="99" t="s">
        <v>104</v>
      </c>
      <c r="C6" s="979"/>
      <c r="D6" s="979"/>
      <c r="E6" s="980"/>
      <c r="F6" s="981"/>
      <c r="G6" s="961"/>
      <c r="H6" s="978"/>
    </row>
    <row r="7" spans="1:8" s="24" customFormat="1" ht="19.5" customHeight="1">
      <c r="A7" s="204" t="s">
        <v>92</v>
      </c>
      <c r="B7" s="100" t="s">
        <v>105</v>
      </c>
      <c r="C7" s="980"/>
      <c r="D7" s="982"/>
      <c r="E7" s="983">
        <v>2944.353</v>
      </c>
      <c r="F7" s="984">
        <f aca="true" t="shared" si="0" ref="F7:F14">E7-G7</f>
        <v>2630.453</v>
      </c>
      <c r="G7" s="985">
        <f>101.4+123.4+7.2+81.9</f>
        <v>313.9</v>
      </c>
      <c r="H7" s="1127">
        <f aca="true" t="shared" si="1" ref="H7:H14">G7/20725*100</f>
        <v>1.5145958986731</v>
      </c>
    </row>
    <row r="8" spans="1:8" s="24" customFormat="1" ht="33.75" customHeight="1">
      <c r="A8" s="205" t="s">
        <v>273</v>
      </c>
      <c r="B8" s="99" t="s">
        <v>106</v>
      </c>
      <c r="C8" s="980"/>
      <c r="D8" s="982"/>
      <c r="E8" s="986">
        <v>3966.007</v>
      </c>
      <c r="F8" s="984">
        <f t="shared" si="0"/>
        <v>3406.107</v>
      </c>
      <c r="G8" s="985">
        <v>559.9</v>
      </c>
      <c r="H8" s="1127">
        <f t="shared" si="1"/>
        <v>2.701568154402895</v>
      </c>
    </row>
    <row r="9" spans="1:8" s="24" customFormat="1" ht="21.75" customHeight="1">
      <c r="A9" s="205" t="s">
        <v>267</v>
      </c>
      <c r="B9" s="99" t="s">
        <v>107</v>
      </c>
      <c r="C9" s="980"/>
      <c r="D9" s="982"/>
      <c r="E9" s="986">
        <v>3550.593</v>
      </c>
      <c r="F9" s="984">
        <f t="shared" si="0"/>
        <v>3463.093</v>
      </c>
      <c r="G9" s="985">
        <v>87.5</v>
      </c>
      <c r="H9" s="1127">
        <f t="shared" si="1"/>
        <v>0.4221954161640531</v>
      </c>
    </row>
    <row r="10" spans="1:8" s="24" customFormat="1" ht="33.75" customHeight="1">
      <c r="A10" s="205" t="s">
        <v>98</v>
      </c>
      <c r="B10" s="100" t="s">
        <v>108</v>
      </c>
      <c r="C10" s="980"/>
      <c r="D10" s="982"/>
      <c r="E10" s="986">
        <v>4707.903</v>
      </c>
      <c r="F10" s="984">
        <f t="shared" si="0"/>
        <v>4476.703</v>
      </c>
      <c r="G10" s="985">
        <v>231.2</v>
      </c>
      <c r="H10" s="1127">
        <f t="shared" si="1"/>
        <v>1.1155609167671894</v>
      </c>
    </row>
    <row r="11" spans="1:8" s="24" customFormat="1" ht="23.25" customHeight="1">
      <c r="A11" s="205" t="s">
        <v>268</v>
      </c>
      <c r="B11" s="99" t="s">
        <v>109</v>
      </c>
      <c r="C11" s="980"/>
      <c r="D11" s="982"/>
      <c r="E11" s="986">
        <v>3135.628</v>
      </c>
      <c r="F11" s="984">
        <f t="shared" si="0"/>
        <v>2947.0280000000002</v>
      </c>
      <c r="G11" s="985">
        <v>188.6</v>
      </c>
      <c r="H11" s="1127">
        <f t="shared" si="1"/>
        <v>0.9100120627261762</v>
      </c>
    </row>
    <row r="12" spans="1:8" s="24" customFormat="1" ht="63.75" customHeight="1">
      <c r="A12" s="205" t="s">
        <v>269</v>
      </c>
      <c r="B12" s="100" t="s">
        <v>110</v>
      </c>
      <c r="C12" s="980"/>
      <c r="D12" s="982"/>
      <c r="E12" s="987">
        <v>2399.267</v>
      </c>
      <c r="F12" s="984">
        <f t="shared" si="0"/>
        <v>2049.9669999999996</v>
      </c>
      <c r="G12" s="985">
        <v>349.3</v>
      </c>
      <c r="H12" s="1127">
        <f t="shared" si="1"/>
        <v>1.6854041013269</v>
      </c>
    </row>
    <row r="13" spans="1:8" s="24" customFormat="1" ht="21" customHeight="1">
      <c r="A13" s="205" t="s">
        <v>270</v>
      </c>
      <c r="B13" s="99" t="s">
        <v>111</v>
      </c>
      <c r="C13" s="980"/>
      <c r="D13" s="982"/>
      <c r="E13" s="986">
        <v>388.41</v>
      </c>
      <c r="F13" s="984">
        <f t="shared" si="0"/>
        <v>320.41</v>
      </c>
      <c r="G13" s="985">
        <v>68</v>
      </c>
      <c r="H13" s="1127">
        <f t="shared" si="1"/>
        <v>0.3281061519903498</v>
      </c>
    </row>
    <row r="14" spans="1:8" s="24" customFormat="1" ht="39" customHeight="1" thickBot="1">
      <c r="A14" s="206" t="s">
        <v>271</v>
      </c>
      <c r="B14" s="665" t="s">
        <v>113</v>
      </c>
      <c r="C14" s="988"/>
      <c r="D14" s="989"/>
      <c r="E14" s="990">
        <v>1531.235</v>
      </c>
      <c r="F14" s="991">
        <f t="shared" si="0"/>
        <v>1431.235</v>
      </c>
      <c r="G14" s="992">
        <v>100</v>
      </c>
      <c r="H14" s="1127">
        <f t="shared" si="1"/>
        <v>0.48250904704463204</v>
      </c>
    </row>
    <row r="15" spans="5:7" ht="15">
      <c r="E15" s="1126"/>
      <c r="G15" s="103"/>
    </row>
    <row r="16" spans="2:8" ht="15">
      <c r="B16" s="208"/>
      <c r="C16" s="209"/>
      <c r="D16" s="210"/>
      <c r="H16" s="104"/>
    </row>
    <row r="17" spans="2:4" ht="15.75">
      <c r="B17" s="153" t="s">
        <v>349</v>
      </c>
      <c r="C17" s="154"/>
      <c r="D17" s="153" t="s">
        <v>350</v>
      </c>
    </row>
    <row r="18" spans="2:4" ht="15.75">
      <c r="B18" s="156" t="s">
        <v>351</v>
      </c>
      <c r="C18" s="154"/>
      <c r="D18" s="157"/>
    </row>
    <row r="19" spans="2:4" ht="15.75">
      <c r="B19" s="154"/>
      <c r="C19" s="154"/>
      <c r="D19" s="158"/>
    </row>
    <row r="20" spans="2:4" ht="15.75">
      <c r="B20" s="153" t="s">
        <v>1459</v>
      </c>
      <c r="C20" s="154"/>
      <c r="D20" s="153" t="s">
        <v>1448</v>
      </c>
    </row>
    <row r="21" spans="2:4" ht="15.75">
      <c r="B21" s="154"/>
      <c r="C21" s="154"/>
      <c r="D21" s="154"/>
    </row>
    <row r="22" spans="2:4" ht="15.75">
      <c r="B22" s="153" t="s">
        <v>1112</v>
      </c>
      <c r="C22" s="154"/>
      <c r="D22" s="153" t="s">
        <v>352</v>
      </c>
    </row>
  </sheetData>
  <sheetProtection/>
  <mergeCells count="7">
    <mergeCell ref="D3:D4"/>
    <mergeCell ref="B1:H1"/>
    <mergeCell ref="A3:A4"/>
    <mergeCell ref="B3:B4"/>
    <mergeCell ref="C3:C4"/>
    <mergeCell ref="E3:F3"/>
    <mergeCell ref="G3:H3"/>
  </mergeCells>
  <printOptions/>
  <pageMargins left="0.3937007874015748" right="0.22" top="0.5905511811023623" bottom="0.3937007874015748" header="0.31496062992125984" footer="0.196850393700787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2:G28"/>
  <sheetViews>
    <sheetView zoomScaleSheetLayoutView="115" zoomScalePageLayoutView="0" workbookViewId="0" topLeftCell="A1">
      <selection activeCell="G16" sqref="G16"/>
    </sheetView>
  </sheetViews>
  <sheetFormatPr defaultColWidth="9.00390625" defaultRowHeight="12.75"/>
  <cols>
    <col min="1" max="1" width="5.375" style="21" customWidth="1"/>
    <col min="2" max="2" width="34.00390625" style="26" customWidth="1"/>
    <col min="3" max="3" width="17.25390625" style="27" customWidth="1"/>
    <col min="4" max="4" width="9.00390625" style="27" customWidth="1"/>
    <col min="5" max="5" width="10.25390625" style="27" customWidth="1"/>
    <col min="6" max="6" width="13.00390625" style="27" customWidth="1"/>
    <col min="7" max="7" width="38.125" style="22" customWidth="1"/>
    <col min="8" max="16384" width="9.125" style="22" customWidth="1"/>
  </cols>
  <sheetData>
    <row r="2" spans="2:7" ht="19.5" customHeight="1">
      <c r="B2" s="1483" t="s">
        <v>84</v>
      </c>
      <c r="C2" s="1483"/>
      <c r="D2" s="1483"/>
      <c r="E2" s="1483"/>
      <c r="F2" s="1483"/>
      <c r="G2" s="1483"/>
    </row>
    <row r="3" spans="1:7" ht="19.5" customHeight="1">
      <c r="A3" s="1489" t="s">
        <v>1292</v>
      </c>
      <c r="B3" s="1489"/>
      <c r="C3" s="1489"/>
      <c r="D3" s="1489"/>
      <c r="E3" s="1489"/>
      <c r="F3" s="1489"/>
      <c r="G3" s="1489"/>
    </row>
    <row r="4" spans="1:7" ht="14.25" customHeight="1" thickBot="1">
      <c r="A4" s="852"/>
      <c r="B4" s="852"/>
      <c r="C4" s="852"/>
      <c r="D4" s="852"/>
      <c r="E4" s="852"/>
      <c r="F4" s="852"/>
      <c r="G4" s="852"/>
    </row>
    <row r="5" spans="1:7" ht="15">
      <c r="A5" s="1484" t="s">
        <v>249</v>
      </c>
      <c r="B5" s="1486" t="s">
        <v>1289</v>
      </c>
      <c r="C5" s="1486" t="s">
        <v>1290</v>
      </c>
      <c r="D5" s="1488" t="s">
        <v>984</v>
      </c>
      <c r="E5" s="1488"/>
      <c r="F5" s="1479" t="s">
        <v>1291</v>
      </c>
      <c r="G5" s="1481" t="s">
        <v>85</v>
      </c>
    </row>
    <row r="6" spans="1:7" ht="15.75" thickBot="1">
      <c r="A6" s="1485"/>
      <c r="B6" s="1487"/>
      <c r="C6" s="1487"/>
      <c r="D6" s="222" t="s">
        <v>114</v>
      </c>
      <c r="E6" s="222" t="s">
        <v>315</v>
      </c>
      <c r="F6" s="1480"/>
      <c r="G6" s="1482"/>
    </row>
    <row r="7" spans="1:7" ht="15.75">
      <c r="A7" s="786">
        <v>1</v>
      </c>
      <c r="B7" s="215" t="s">
        <v>460</v>
      </c>
      <c r="C7" s="993">
        <v>39976</v>
      </c>
      <c r="D7" s="994"/>
      <c r="E7" s="994"/>
      <c r="F7" s="995"/>
      <c r="G7" s="787"/>
    </row>
    <row r="8" spans="1:7" ht="39.75" customHeight="1">
      <c r="A8" s="788">
        <v>2</v>
      </c>
      <c r="B8" s="215" t="s">
        <v>461</v>
      </c>
      <c r="C8" s="996">
        <v>182000</v>
      </c>
      <c r="D8" s="996">
        <v>80000</v>
      </c>
      <c r="E8" s="996">
        <v>56000</v>
      </c>
      <c r="F8" s="996">
        <v>100000</v>
      </c>
      <c r="G8" s="218" t="s">
        <v>1147</v>
      </c>
    </row>
    <row r="9" spans="1:7" ht="18.75" customHeight="1">
      <c r="A9" s="788">
        <v>3</v>
      </c>
      <c r="B9" s="215" t="s">
        <v>462</v>
      </c>
      <c r="C9" s="996">
        <v>16000</v>
      </c>
      <c r="D9" s="996"/>
      <c r="E9" s="996"/>
      <c r="F9" s="996"/>
      <c r="G9" s="218"/>
    </row>
    <row r="10" spans="1:7" ht="15.75">
      <c r="A10" s="789" t="s">
        <v>98</v>
      </c>
      <c r="B10" s="215" t="s">
        <v>463</v>
      </c>
      <c r="C10" s="996">
        <v>110000</v>
      </c>
      <c r="D10" s="996">
        <v>110000</v>
      </c>
      <c r="E10" s="996"/>
      <c r="F10" s="996"/>
      <c r="G10" s="218"/>
    </row>
    <row r="11" spans="1:7" ht="30" customHeight="1">
      <c r="A11" s="789" t="s">
        <v>268</v>
      </c>
      <c r="B11" s="216" t="s">
        <v>464</v>
      </c>
      <c r="C11" s="997">
        <v>21000</v>
      </c>
      <c r="D11" s="997"/>
      <c r="E11" s="997">
        <v>2000</v>
      </c>
      <c r="F11" s="997">
        <v>10000</v>
      </c>
      <c r="G11" s="218" t="s">
        <v>465</v>
      </c>
    </row>
    <row r="12" spans="1:7" ht="36" customHeight="1">
      <c r="A12" s="789" t="s">
        <v>269</v>
      </c>
      <c r="B12" s="216" t="s">
        <v>1136</v>
      </c>
      <c r="C12" s="997"/>
      <c r="D12" s="997"/>
      <c r="E12" s="997">
        <v>21000</v>
      </c>
      <c r="F12" s="997"/>
      <c r="G12" s="218" t="s">
        <v>1137</v>
      </c>
    </row>
    <row r="13" spans="1:7" ht="31.5" customHeight="1">
      <c r="A13" s="789" t="s">
        <v>270</v>
      </c>
      <c r="B13" s="216" t="s">
        <v>466</v>
      </c>
      <c r="C13" s="997">
        <v>24000</v>
      </c>
      <c r="D13" s="997"/>
      <c r="E13" s="997">
        <f>12700+6300+6300+6300+6400</f>
        <v>38000</v>
      </c>
      <c r="F13" s="997">
        <v>40000</v>
      </c>
      <c r="G13" s="219" t="s">
        <v>1156</v>
      </c>
    </row>
    <row r="14" spans="1:7" ht="21.75" customHeight="1">
      <c r="A14" s="789" t="s">
        <v>271</v>
      </c>
      <c r="B14" s="216" t="s">
        <v>467</v>
      </c>
      <c r="C14" s="997">
        <v>19000</v>
      </c>
      <c r="D14" s="997"/>
      <c r="E14" s="997"/>
      <c r="F14" s="997"/>
      <c r="G14" s="219"/>
    </row>
    <row r="15" spans="1:7" ht="30" customHeight="1">
      <c r="A15" s="789" t="s">
        <v>1148</v>
      </c>
      <c r="B15" s="216" t="s">
        <v>1138</v>
      </c>
      <c r="C15" s="997"/>
      <c r="D15" s="997"/>
      <c r="E15" s="997">
        <v>3000</v>
      </c>
      <c r="F15" s="997"/>
      <c r="G15" s="218" t="s">
        <v>1137</v>
      </c>
    </row>
    <row r="16" spans="1:7" ht="93" customHeight="1">
      <c r="A16" s="789" t="s">
        <v>1149</v>
      </c>
      <c r="B16" s="216" t="s">
        <v>1145</v>
      </c>
      <c r="C16" s="997"/>
      <c r="D16" s="997"/>
      <c r="E16" s="997">
        <v>6000</v>
      </c>
      <c r="F16" s="997"/>
      <c r="G16" s="218" t="s">
        <v>1146</v>
      </c>
    </row>
    <row r="17" spans="1:7" ht="47.25">
      <c r="A17" s="789" t="s">
        <v>1150</v>
      </c>
      <c r="B17" s="216" t="s">
        <v>1140</v>
      </c>
      <c r="C17" s="997"/>
      <c r="D17" s="997"/>
      <c r="E17" s="997">
        <v>29000</v>
      </c>
      <c r="F17" s="997"/>
      <c r="G17" s="219" t="s">
        <v>1141</v>
      </c>
    </row>
    <row r="18" spans="1:7" ht="47.25">
      <c r="A18" s="789" t="s">
        <v>1151</v>
      </c>
      <c r="B18" s="216" t="s">
        <v>1139</v>
      </c>
      <c r="C18" s="997"/>
      <c r="D18" s="997"/>
      <c r="E18" s="997">
        <v>13000</v>
      </c>
      <c r="F18" s="997"/>
      <c r="G18" s="219" t="s">
        <v>1142</v>
      </c>
    </row>
    <row r="19" spans="1:7" ht="33" customHeight="1">
      <c r="A19" s="789" t="s">
        <v>1152</v>
      </c>
      <c r="B19" s="216" t="s">
        <v>1143</v>
      </c>
      <c r="C19" s="997"/>
      <c r="D19" s="997"/>
      <c r="E19" s="997">
        <v>25000</v>
      </c>
      <c r="F19" s="997"/>
      <c r="G19" s="219" t="s">
        <v>1144</v>
      </c>
    </row>
    <row r="20" spans="1:7" ht="80.25" customHeight="1">
      <c r="A20" s="789" t="s">
        <v>1153</v>
      </c>
      <c r="B20" s="216" t="s">
        <v>380</v>
      </c>
      <c r="C20" s="997">
        <f>3100+10627</f>
        <v>13727</v>
      </c>
      <c r="D20" s="997">
        <v>114000</v>
      </c>
      <c r="E20" s="997">
        <f>3000+3000+2000+2000+47000</f>
        <v>57000</v>
      </c>
      <c r="F20" s="997">
        <v>100000</v>
      </c>
      <c r="G20" s="218" t="s">
        <v>1155</v>
      </c>
    </row>
    <row r="21" spans="1:7" ht="16.5" thickBot="1">
      <c r="A21" s="790" t="s">
        <v>1154</v>
      </c>
      <c r="B21" s="217" t="s">
        <v>83</v>
      </c>
      <c r="C21" s="998">
        <f>SUM(C7:C20)</f>
        <v>425703</v>
      </c>
      <c r="D21" s="998">
        <f>SUM(D8:D20)</f>
        <v>304000</v>
      </c>
      <c r="E21" s="998">
        <f>SUM(E8:E20)</f>
        <v>250000</v>
      </c>
      <c r="F21" s="998">
        <f>SUM(F8:F20)</f>
        <v>250000</v>
      </c>
      <c r="G21" s="221"/>
    </row>
    <row r="22" ht="47.25" customHeight="1"/>
    <row r="23" spans="2:5" ht="15.75">
      <c r="B23" s="153" t="s">
        <v>349</v>
      </c>
      <c r="C23" s="154"/>
      <c r="D23" s="153" t="s">
        <v>350</v>
      </c>
      <c r="E23" s="105"/>
    </row>
    <row r="24" spans="2:5" ht="15.75">
      <c r="B24" s="156" t="s">
        <v>351</v>
      </c>
      <c r="C24" s="154"/>
      <c r="D24" s="157"/>
      <c r="E24" s="105"/>
    </row>
    <row r="25" spans="2:5" ht="15.75">
      <c r="B25" s="154"/>
      <c r="C25" s="154"/>
      <c r="D25" s="158"/>
      <c r="E25" s="105"/>
    </row>
    <row r="26" spans="2:5" ht="24.75" customHeight="1">
      <c r="B26" s="153" t="s">
        <v>1459</v>
      </c>
      <c r="C26" s="154"/>
      <c r="D26" s="153" t="s">
        <v>1448</v>
      </c>
      <c r="E26" s="105"/>
    </row>
    <row r="27" spans="2:5" ht="15.75">
      <c r="B27" s="154"/>
      <c r="C27" s="154"/>
      <c r="D27" s="154"/>
      <c r="E27" s="105"/>
    </row>
    <row r="28" spans="2:5" ht="27.75" customHeight="1">
      <c r="B28" s="153" t="s">
        <v>1112</v>
      </c>
      <c r="C28" s="154"/>
      <c r="D28" s="153" t="s">
        <v>352</v>
      </c>
      <c r="E28" s="105"/>
    </row>
  </sheetData>
  <sheetProtection/>
  <mergeCells count="8">
    <mergeCell ref="F5:F6"/>
    <mergeCell ref="G5:G6"/>
    <mergeCell ref="B2:G2"/>
    <mergeCell ref="A5:A6"/>
    <mergeCell ref="B5:B6"/>
    <mergeCell ref="C5:C6"/>
    <mergeCell ref="D5:E5"/>
    <mergeCell ref="A3:G3"/>
  </mergeCells>
  <printOptions/>
  <pageMargins left="0.68" right="0.1968503937007874" top="0.4330708661417323" bottom="0.3937007874015748" header="0.31496062992125984" footer="0.196850393700787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9.375" style="0" customWidth="1"/>
    <col min="2" max="2" width="20.25390625" style="0" customWidth="1"/>
    <col min="4" max="4" width="14.625" style="0" customWidth="1"/>
  </cols>
  <sheetData>
    <row r="1" spans="1:3" ht="18">
      <c r="A1" s="1250" t="s">
        <v>669</v>
      </c>
      <c r="B1" s="1250"/>
      <c r="C1" s="1250"/>
    </row>
    <row r="2" spans="1:3" ht="18">
      <c r="A2" s="1250" t="s">
        <v>634</v>
      </c>
      <c r="B2" s="1250"/>
      <c r="C2" s="1250"/>
    </row>
    <row r="3" spans="1:3" ht="18">
      <c r="A3" s="1250" t="s">
        <v>1244</v>
      </c>
      <c r="B3" s="1250"/>
      <c r="C3" s="1250"/>
    </row>
    <row r="4" spans="1:3" ht="15.75">
      <c r="A4" s="422"/>
      <c r="B4" s="422"/>
      <c r="C4" s="422"/>
    </row>
    <row r="5" spans="1:3" ht="15">
      <c r="A5" s="423" t="s">
        <v>670</v>
      </c>
      <c r="B5" s="731">
        <v>2276065</v>
      </c>
      <c r="C5" s="1130" t="s">
        <v>459</v>
      </c>
    </row>
    <row r="6" spans="1:3" ht="15">
      <c r="A6" s="423"/>
      <c r="B6" s="731"/>
      <c r="C6" s="1130"/>
    </row>
    <row r="7" spans="1:3" ht="15">
      <c r="A7" s="423" t="s">
        <v>671</v>
      </c>
      <c r="B7" s="731">
        <v>1680000</v>
      </c>
      <c r="C7" s="1130" t="s">
        <v>459</v>
      </c>
    </row>
    <row r="8" spans="1:3" ht="15">
      <c r="A8" s="423"/>
      <c r="B8" s="731"/>
      <c r="C8" s="1130"/>
    </row>
    <row r="9" spans="1:3" ht="33" customHeight="1">
      <c r="A9" s="425" t="s">
        <v>672</v>
      </c>
      <c r="B9" s="731">
        <f>B11-B5-B7</f>
        <v>596065</v>
      </c>
      <c r="C9" s="1130" t="s">
        <v>459</v>
      </c>
    </row>
    <row r="10" spans="1:3" ht="15">
      <c r="A10" s="425"/>
      <c r="B10" s="1130"/>
      <c r="C10" s="1130"/>
    </row>
    <row r="11" spans="1:3" ht="15.75">
      <c r="A11" s="426" t="s">
        <v>673</v>
      </c>
      <c r="B11" s="1131">
        <v>4552130</v>
      </c>
      <c r="C11" s="1132" t="s">
        <v>459</v>
      </c>
    </row>
    <row r="12" spans="1:3" ht="15.75">
      <c r="A12" s="426"/>
      <c r="B12" s="427"/>
      <c r="C12" s="426"/>
    </row>
    <row r="13" spans="1:3" ht="15">
      <c r="A13" s="424"/>
      <c r="B13" s="424"/>
      <c r="C13" s="424"/>
    </row>
    <row r="14" spans="1:7" ht="12.75">
      <c r="A14" s="428" t="s">
        <v>667</v>
      </c>
      <c r="B14" s="429" t="s">
        <v>1449</v>
      </c>
      <c r="C14" s="430"/>
      <c r="D14" s="429"/>
      <c r="E14" s="429" t="s">
        <v>1112</v>
      </c>
      <c r="F14" s="429"/>
      <c r="G14" s="430"/>
    </row>
    <row r="15" spans="1:7" ht="15.75" customHeight="1">
      <c r="A15" s="431" t="s">
        <v>490</v>
      </c>
      <c r="B15" s="429" t="s">
        <v>490</v>
      </c>
      <c r="C15" s="430"/>
      <c r="D15" s="424"/>
      <c r="E15" s="1251" t="s">
        <v>490</v>
      </c>
      <c r="F15" s="1251"/>
      <c r="G15" s="1251"/>
    </row>
    <row r="16" spans="1:7" ht="15" customHeight="1">
      <c r="A16" s="432" t="s">
        <v>674</v>
      </c>
      <c r="B16" s="429" t="s">
        <v>1450</v>
      </c>
      <c r="C16" s="430"/>
      <c r="D16" s="430"/>
      <c r="E16" s="429" t="s">
        <v>675</v>
      </c>
      <c r="F16" s="429"/>
      <c r="G16" s="430"/>
    </row>
    <row r="17" spans="1:7" ht="12.75">
      <c r="A17" s="431"/>
      <c r="B17" s="429"/>
      <c r="C17" s="430"/>
      <c r="D17" s="429"/>
      <c r="E17" s="429"/>
      <c r="F17" s="429"/>
      <c r="G17" s="430"/>
    </row>
    <row r="18" spans="1:7" ht="44.25" customHeight="1">
      <c r="A18" s="433" t="s">
        <v>676</v>
      </c>
      <c r="B18" s="429" t="s">
        <v>677</v>
      </c>
      <c r="C18" s="430"/>
      <c r="D18" s="434"/>
      <c r="E18" s="435" t="s">
        <v>677</v>
      </c>
      <c r="F18" s="435"/>
      <c r="G18" s="430"/>
    </row>
  </sheetData>
  <sheetProtection/>
  <mergeCells count="4">
    <mergeCell ref="A1:C1"/>
    <mergeCell ref="A2:C2"/>
    <mergeCell ref="A3:C3"/>
    <mergeCell ref="E15:G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D21"/>
  <sheetViews>
    <sheetView zoomScaleSheetLayoutView="115" zoomScalePageLayoutView="0" workbookViewId="0" topLeftCell="A1">
      <selection activeCell="F24" sqref="F24"/>
    </sheetView>
  </sheetViews>
  <sheetFormatPr defaultColWidth="9.00390625" defaultRowHeight="12.75"/>
  <cols>
    <col min="1" max="1" width="4.625" style="21" customWidth="1"/>
    <col min="2" max="2" width="48.75390625" style="26" customWidth="1"/>
    <col min="3" max="3" width="57.25390625" style="27" customWidth="1"/>
    <col min="4" max="16384" width="9.125" style="22" customWidth="1"/>
  </cols>
  <sheetData>
    <row r="1" ht="15.75" customHeight="1">
      <c r="C1" s="88" t="s">
        <v>53</v>
      </c>
    </row>
    <row r="2" spans="2:3" ht="32.25" customHeight="1">
      <c r="B2" s="1473" t="s">
        <v>96</v>
      </c>
      <c r="C2" s="1473"/>
    </row>
    <row r="3" spans="2:3" ht="32.25" customHeight="1" thickBot="1">
      <c r="B3" s="271"/>
      <c r="C3" s="271"/>
    </row>
    <row r="4" spans="1:3" ht="22.5" customHeight="1">
      <c r="A4" s="1490" t="s">
        <v>272</v>
      </c>
      <c r="B4" s="1492" t="s">
        <v>251</v>
      </c>
      <c r="C4" s="1494" t="s">
        <v>1093</v>
      </c>
    </row>
    <row r="5" spans="1:3" ht="15.75" thickBot="1">
      <c r="A5" s="1491"/>
      <c r="B5" s="1493"/>
      <c r="C5" s="1495"/>
    </row>
    <row r="6" spans="1:3" s="24" customFormat="1" ht="18.75">
      <c r="A6" s="853" t="s">
        <v>92</v>
      </c>
      <c r="B6" s="854" t="s">
        <v>324</v>
      </c>
      <c r="C6" s="855">
        <v>5548689</v>
      </c>
    </row>
    <row r="7" spans="1:3" s="24" customFormat="1" ht="30">
      <c r="A7" s="204" t="s">
        <v>273</v>
      </c>
      <c r="B7" s="87" t="s">
        <v>1438</v>
      </c>
      <c r="C7" s="666">
        <v>0</v>
      </c>
    </row>
    <row r="8" spans="1:3" s="24" customFormat="1" ht="18.75">
      <c r="A8" s="204" t="s">
        <v>267</v>
      </c>
      <c r="B8" s="87" t="s">
        <v>458</v>
      </c>
      <c r="C8" s="666">
        <v>4421705</v>
      </c>
    </row>
    <row r="9" spans="1:3" s="24" customFormat="1" ht="18.75">
      <c r="A9" s="204" t="s">
        <v>98</v>
      </c>
      <c r="B9" s="87" t="s">
        <v>112</v>
      </c>
      <c r="C9" s="666">
        <v>2213896</v>
      </c>
    </row>
    <row r="10" spans="1:3" s="24" customFormat="1" ht="18.75">
      <c r="A10" s="204" t="s">
        <v>337</v>
      </c>
      <c r="B10" s="87" t="s">
        <v>97</v>
      </c>
      <c r="C10" s="666"/>
    </row>
    <row r="11" spans="1:3" s="24" customFormat="1" ht="18.75">
      <c r="A11" s="204" t="s">
        <v>338</v>
      </c>
      <c r="B11" s="87" t="s">
        <v>81</v>
      </c>
      <c r="C11" s="666">
        <v>2213896</v>
      </c>
    </row>
    <row r="12" spans="1:3" s="24" customFormat="1" ht="30">
      <c r="A12" s="204" t="s">
        <v>457</v>
      </c>
      <c r="B12" s="87" t="s">
        <v>1439</v>
      </c>
      <c r="C12" s="667">
        <v>0</v>
      </c>
    </row>
    <row r="13" spans="1:3" s="24" customFormat="1" ht="18.75">
      <c r="A13" s="204" t="s">
        <v>268</v>
      </c>
      <c r="B13" s="87" t="s">
        <v>1440</v>
      </c>
      <c r="C13" s="667">
        <v>4552130</v>
      </c>
    </row>
    <row r="14" spans="1:3" s="24" customFormat="1" ht="19.5" thickBot="1">
      <c r="A14" s="226" t="s">
        <v>269</v>
      </c>
      <c r="B14" s="668" t="s">
        <v>324</v>
      </c>
      <c r="C14" s="669">
        <v>7886923</v>
      </c>
    </row>
    <row r="16" spans="2:4" ht="30" customHeight="1">
      <c r="B16" s="153" t="s">
        <v>349</v>
      </c>
      <c r="C16" s="153" t="s">
        <v>1094</v>
      </c>
      <c r="D16" s="105"/>
    </row>
    <row r="17" spans="2:4" ht="15.75">
      <c r="B17" s="156" t="s">
        <v>351</v>
      </c>
      <c r="C17" s="157"/>
      <c r="D17" s="105"/>
    </row>
    <row r="18" spans="2:4" ht="15.75">
      <c r="B18" s="154"/>
      <c r="C18" s="158"/>
      <c r="D18" s="105"/>
    </row>
    <row r="19" spans="2:4" ht="15.75">
      <c r="B19" s="153" t="s">
        <v>1459</v>
      </c>
      <c r="C19" s="153" t="s">
        <v>1465</v>
      </c>
      <c r="D19" s="105"/>
    </row>
    <row r="20" spans="2:4" ht="15.75">
      <c r="B20" s="154"/>
      <c r="C20" s="154"/>
      <c r="D20" s="105"/>
    </row>
    <row r="21" spans="2:4" ht="15.75">
      <c r="B21" s="153" t="s">
        <v>1112</v>
      </c>
      <c r="C21" s="153" t="s">
        <v>1090</v>
      </c>
      <c r="D21" s="105"/>
    </row>
  </sheetData>
  <sheetProtection/>
  <mergeCells count="4">
    <mergeCell ref="B2:C2"/>
    <mergeCell ref="A4:A5"/>
    <mergeCell ref="B4:B5"/>
    <mergeCell ref="C4:C5"/>
  </mergeCells>
  <printOptions/>
  <pageMargins left="0.5905511811023623" right="0.31496062992125984" top="0.5905511811023623" bottom="0.3937007874015748" header="0.31496062992125984" footer="0.1968503937007874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2:D16"/>
  <sheetViews>
    <sheetView zoomScaleSheetLayoutView="115" zoomScalePageLayoutView="0" workbookViewId="0" topLeftCell="A1">
      <selection activeCell="D18" sqref="D18"/>
    </sheetView>
  </sheetViews>
  <sheetFormatPr defaultColWidth="9.00390625" defaultRowHeight="12.75"/>
  <cols>
    <col min="1" max="1" width="4.625" style="21" customWidth="1"/>
    <col min="2" max="2" width="41.00390625" style="26" customWidth="1"/>
    <col min="3" max="4" width="19.125" style="27" customWidth="1"/>
    <col min="5" max="16384" width="9.125" style="22" customWidth="1"/>
  </cols>
  <sheetData>
    <row r="1" ht="15.75" customHeight="1"/>
    <row r="2" spans="2:4" ht="32.25" customHeight="1">
      <c r="B2" s="1473" t="s">
        <v>88</v>
      </c>
      <c r="C2" s="1473"/>
      <c r="D2" s="1473"/>
    </row>
    <row r="3" spans="2:4" ht="32.25" customHeight="1" thickBot="1">
      <c r="B3" s="271"/>
      <c r="C3" s="271"/>
      <c r="D3" s="272"/>
    </row>
    <row r="4" spans="1:4" ht="30.75" customHeight="1">
      <c r="A4" s="276" t="s">
        <v>272</v>
      </c>
      <c r="B4" s="670" t="s">
        <v>89</v>
      </c>
      <c r="C4" s="670" t="s">
        <v>335</v>
      </c>
      <c r="D4" s="729" t="s">
        <v>336</v>
      </c>
    </row>
    <row r="5" spans="1:4" s="24" customFormat="1" ht="30.75" customHeight="1">
      <c r="A5" s="204"/>
      <c r="B5" s="87" t="s">
        <v>90</v>
      </c>
      <c r="C5" s="23"/>
      <c r="D5" s="225">
        <v>0</v>
      </c>
    </row>
    <row r="6" spans="1:4" s="24" customFormat="1" ht="30.75" customHeight="1">
      <c r="A6" s="204"/>
      <c r="B6" s="87" t="s">
        <v>86</v>
      </c>
      <c r="C6" s="23">
        <v>4784872</v>
      </c>
      <c r="D6" s="224">
        <v>4784872</v>
      </c>
    </row>
    <row r="7" spans="1:4" s="24" customFormat="1" ht="30.75" customHeight="1">
      <c r="A7" s="204"/>
      <c r="B7" s="87" t="s">
        <v>339</v>
      </c>
      <c r="C7" s="85"/>
      <c r="D7" s="671"/>
    </row>
    <row r="8" spans="1:4" ht="30.75" customHeight="1" thickBot="1">
      <c r="A8" s="220"/>
      <c r="B8" s="672" t="s">
        <v>83</v>
      </c>
      <c r="C8" s="673">
        <f>SUM(C5:C7)</f>
        <v>4784872</v>
      </c>
      <c r="D8" s="674">
        <f>SUM(D5:D7)</f>
        <v>4784872</v>
      </c>
    </row>
    <row r="11" spans="2:3" ht="15.75">
      <c r="B11" s="153" t="s">
        <v>349</v>
      </c>
      <c r="C11" s="153" t="s">
        <v>1094</v>
      </c>
    </row>
    <row r="12" spans="2:3" ht="15.75">
      <c r="B12" s="156" t="s">
        <v>351</v>
      </c>
      <c r="C12" s="157"/>
    </row>
    <row r="13" spans="2:3" ht="15.75">
      <c r="B13" s="154"/>
      <c r="C13" s="158"/>
    </row>
    <row r="14" spans="2:3" ht="15.75">
      <c r="B14" s="153" t="s">
        <v>1459</v>
      </c>
      <c r="C14" s="153" t="s">
        <v>1465</v>
      </c>
    </row>
    <row r="15" spans="2:3" ht="15.75">
      <c r="B15" s="154"/>
      <c r="C15" s="154"/>
    </row>
    <row r="16" spans="2:3" ht="15.75">
      <c r="B16" s="153" t="s">
        <v>1112</v>
      </c>
      <c r="C16" s="153" t="s">
        <v>1090</v>
      </c>
    </row>
  </sheetData>
  <sheetProtection/>
  <mergeCells count="1">
    <mergeCell ref="B2:D2"/>
  </mergeCells>
  <printOptions/>
  <pageMargins left="0.5905511811023623" right="0.31496062992125984" top="0.5905511811023623" bottom="0.3937007874015748" header="0.31496062992125984" footer="0.1968503937007874"/>
  <pageSetup horizontalDpi="600" verticalDpi="600" orientation="landscape" paperSize="9" scale="11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7"/>
  <sheetViews>
    <sheetView zoomScalePageLayoutView="0" workbookViewId="0" topLeftCell="B1">
      <selection activeCell="M18" sqref="M18"/>
    </sheetView>
  </sheetViews>
  <sheetFormatPr defaultColWidth="9.00390625" defaultRowHeight="12.75"/>
  <cols>
    <col min="1" max="1" width="18.25390625" style="0" customWidth="1"/>
    <col min="3" max="3" width="12.875" style="0" customWidth="1"/>
    <col min="4" max="4" width="15.75390625" style="0" customWidth="1"/>
    <col min="5" max="5" width="13.75390625" style="0" customWidth="1"/>
    <col min="6" max="6" width="13.25390625" style="0" customWidth="1"/>
    <col min="7" max="7" width="13.00390625" style="0" customWidth="1"/>
    <col min="9" max="9" width="12.125" style="0" customWidth="1"/>
    <col min="11" max="11" width="11.75390625" style="0" customWidth="1"/>
    <col min="12" max="12" width="12.00390625" style="0" customWidth="1"/>
    <col min="13" max="13" width="10.25390625" style="0" customWidth="1"/>
    <col min="14" max="14" width="11.75390625" style="0" customWidth="1"/>
    <col min="15" max="15" width="11.375" style="0" customWidth="1"/>
    <col min="16" max="16" width="10.125" style="0" customWidth="1"/>
    <col min="17" max="17" width="14.75390625" style="0" customWidth="1"/>
  </cols>
  <sheetData>
    <row r="1" spans="1:17" ht="20.25">
      <c r="A1" s="1496" t="s">
        <v>477</v>
      </c>
      <c r="B1" s="1496"/>
      <c r="C1" s="1496"/>
      <c r="D1" s="1496"/>
      <c r="E1" s="1496"/>
      <c r="F1" s="1496"/>
      <c r="G1" s="1496"/>
      <c r="H1" s="1496"/>
      <c r="I1" s="1496"/>
      <c r="J1" s="1496"/>
      <c r="K1" s="1496"/>
      <c r="L1" s="1496"/>
      <c r="M1" s="1496"/>
      <c r="N1" s="234"/>
      <c r="O1" s="235" t="s">
        <v>478</v>
      </c>
      <c r="P1" s="1"/>
      <c r="Q1" s="1"/>
    </row>
    <row r="2" spans="1:17" ht="13.5" thickBot="1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3"/>
      <c r="P2" s="3"/>
      <c r="Q2" s="2" t="s">
        <v>264</v>
      </c>
    </row>
    <row r="3" spans="1:17" ht="14.25">
      <c r="A3" s="1497" t="s">
        <v>311</v>
      </c>
      <c r="B3" s="1500" t="s">
        <v>479</v>
      </c>
      <c r="C3" s="1503" t="s">
        <v>452</v>
      </c>
      <c r="D3" s="1504"/>
      <c r="E3" s="1505"/>
      <c r="F3" s="1500" t="s">
        <v>52</v>
      </c>
      <c r="G3" s="1506" t="s">
        <v>488</v>
      </c>
      <c r="H3" s="1509" t="s">
        <v>1304</v>
      </c>
      <c r="I3" s="1510"/>
      <c r="J3" s="1510"/>
      <c r="K3" s="1510"/>
      <c r="L3" s="1511"/>
      <c r="M3" s="1506" t="s">
        <v>1305</v>
      </c>
      <c r="N3" s="1503" t="s">
        <v>310</v>
      </c>
      <c r="O3" s="1504"/>
      <c r="P3" s="1505"/>
      <c r="Q3" s="1514" t="s">
        <v>480</v>
      </c>
    </row>
    <row r="4" spans="1:17" ht="42.75">
      <c r="A4" s="1498"/>
      <c r="B4" s="1501"/>
      <c r="C4" s="1517" t="s">
        <v>481</v>
      </c>
      <c r="D4" s="1517" t="s">
        <v>557</v>
      </c>
      <c r="E4" s="1517" t="s">
        <v>487</v>
      </c>
      <c r="F4" s="1501"/>
      <c r="G4" s="1507"/>
      <c r="H4" s="241" t="s">
        <v>556</v>
      </c>
      <c r="I4" s="241" t="s">
        <v>485</v>
      </c>
      <c r="J4" s="1518" t="s">
        <v>486</v>
      </c>
      <c r="K4" s="241" t="s">
        <v>484</v>
      </c>
      <c r="L4" s="241" t="s">
        <v>485</v>
      </c>
      <c r="M4" s="1507"/>
      <c r="N4" s="1517" t="s">
        <v>481</v>
      </c>
      <c r="O4" s="1517" t="s">
        <v>482</v>
      </c>
      <c r="P4" s="1517" t="s">
        <v>483</v>
      </c>
      <c r="Q4" s="1515"/>
    </row>
    <row r="5" spans="1:17" ht="15" thickBot="1">
      <c r="A5" s="1499"/>
      <c r="B5" s="1502"/>
      <c r="C5" s="1502"/>
      <c r="D5" s="1502"/>
      <c r="E5" s="1502"/>
      <c r="F5" s="1502"/>
      <c r="G5" s="1508"/>
      <c r="H5" s="1512" t="s">
        <v>481</v>
      </c>
      <c r="I5" s="1513"/>
      <c r="J5" s="1508"/>
      <c r="K5" s="1512" t="s">
        <v>482</v>
      </c>
      <c r="L5" s="1513"/>
      <c r="M5" s="1508"/>
      <c r="N5" s="1502"/>
      <c r="O5" s="1502"/>
      <c r="P5" s="1502"/>
      <c r="Q5" s="1516"/>
    </row>
    <row r="6" spans="1:17" ht="72.75" customHeight="1">
      <c r="A6" s="236" t="s">
        <v>451</v>
      </c>
      <c r="B6" s="237"/>
      <c r="C6" s="238"/>
      <c r="D6" s="1088">
        <v>3330000</v>
      </c>
      <c r="E6" s="1089"/>
      <c r="F6" s="1090">
        <v>12</v>
      </c>
      <c r="G6" s="1090" t="s">
        <v>489</v>
      </c>
      <c r="H6" s="1091"/>
      <c r="I6" s="1091"/>
      <c r="J6" s="1091"/>
      <c r="K6" s="1092">
        <v>1680000</v>
      </c>
      <c r="L6" s="1092">
        <v>360763</v>
      </c>
      <c r="M6" s="1093">
        <f>SUM(K6:L6)</f>
        <v>2040763</v>
      </c>
      <c r="N6" s="1094"/>
      <c r="O6" s="1093">
        <f>D6-K6</f>
        <v>1650000</v>
      </c>
      <c r="P6" s="1090"/>
      <c r="Q6" s="1095"/>
    </row>
    <row r="7" spans="1:17" ht="19.5" thickBot="1">
      <c r="A7" s="239" t="s">
        <v>258</v>
      </c>
      <c r="B7" s="240"/>
      <c r="C7" s="240"/>
      <c r="D7" s="1096">
        <f>SUM(D6)</f>
        <v>3330000</v>
      </c>
      <c r="E7" s="1097"/>
      <c r="F7" s="1097">
        <f>SUM(F6)</f>
        <v>12</v>
      </c>
      <c r="G7" s="1097"/>
      <c r="H7" s="1098"/>
      <c r="I7" s="1098"/>
      <c r="J7" s="1098"/>
      <c r="K7" s="1099">
        <f>SUM(K6)</f>
        <v>1680000</v>
      </c>
      <c r="L7" s="1099">
        <f>SUM(L6)</f>
        <v>360763</v>
      </c>
      <c r="M7" s="1100">
        <f>SUM(M6)</f>
        <v>2040763</v>
      </c>
      <c r="N7" s="1101"/>
      <c r="O7" s="1102">
        <f>D7-K7</f>
        <v>1650000</v>
      </c>
      <c r="P7" s="1097"/>
      <c r="Q7" s="1103"/>
    </row>
    <row r="8" spans="1:17" ht="12.75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3"/>
      <c r="P8" s="3"/>
      <c r="Q8" s="3"/>
    </row>
    <row r="9" spans="1:17" ht="12.75">
      <c r="A9" s="3"/>
      <c r="B9" s="3"/>
      <c r="C9" s="3"/>
      <c r="D9" s="3"/>
      <c r="E9" s="3"/>
      <c r="F9" s="3"/>
      <c r="G9" s="3"/>
      <c r="H9" s="2"/>
      <c r="I9" s="2"/>
      <c r="J9" s="2"/>
      <c r="K9" s="2"/>
      <c r="L9" s="2"/>
      <c r="M9" s="2"/>
      <c r="N9" s="2"/>
      <c r="O9" s="3"/>
      <c r="P9" s="3"/>
      <c r="Q9" s="3"/>
    </row>
    <row r="10" spans="1:17" ht="12.75">
      <c r="A10" s="3"/>
      <c r="B10" s="3"/>
      <c r="C10" s="3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3"/>
      <c r="P10" s="3"/>
      <c r="Q10" s="3"/>
    </row>
    <row r="11" spans="4:13" ht="15.75">
      <c r="D11" s="1331" t="s">
        <v>1096</v>
      </c>
      <c r="E11" s="1331"/>
      <c r="F11" s="1331"/>
      <c r="G11" s="1331"/>
      <c r="H11" s="1331"/>
      <c r="I11" s="1331"/>
      <c r="J11" s="1331"/>
      <c r="K11" s="1331"/>
      <c r="L11" s="1331"/>
      <c r="M11" s="1331"/>
    </row>
    <row r="12" spans="4:10" ht="15.75">
      <c r="D12" s="156" t="s">
        <v>351</v>
      </c>
      <c r="E12" s="154"/>
      <c r="F12" s="157"/>
      <c r="G12" s="156"/>
      <c r="H12" s="156"/>
      <c r="I12" s="157"/>
      <c r="J12" s="27"/>
    </row>
    <row r="13" spans="4:10" ht="15.75">
      <c r="D13" s="154"/>
      <c r="E13" s="154"/>
      <c r="F13" s="158"/>
      <c r="G13" s="154"/>
      <c r="H13" s="154"/>
      <c r="I13" s="158"/>
      <c r="J13" s="27"/>
    </row>
    <row r="14" spans="4:10" ht="29.25" customHeight="1">
      <c r="D14" s="153" t="s">
        <v>1459</v>
      </c>
      <c r="E14" s="154"/>
      <c r="F14" s="153" t="s">
        <v>1466</v>
      </c>
      <c r="G14" s="153"/>
      <c r="H14" s="153"/>
      <c r="I14" s="153"/>
      <c r="J14" s="27"/>
    </row>
    <row r="15" spans="4:10" ht="15.75">
      <c r="D15" s="154"/>
      <c r="E15" s="154"/>
      <c r="F15" s="154"/>
      <c r="G15" s="154"/>
      <c r="H15" s="154"/>
      <c r="I15" s="154"/>
      <c r="J15" s="27"/>
    </row>
    <row r="16" spans="4:10" ht="33" customHeight="1">
      <c r="D16" s="153" t="s">
        <v>1112</v>
      </c>
      <c r="E16" s="154"/>
      <c r="F16" s="153" t="s">
        <v>1095</v>
      </c>
      <c r="G16" s="153"/>
      <c r="H16" s="153"/>
      <c r="I16" s="153"/>
      <c r="J16" s="27"/>
    </row>
    <row r="17" spans="4:9" ht="15">
      <c r="D17" s="154"/>
      <c r="E17" s="154"/>
      <c r="F17" s="154"/>
      <c r="G17" s="154"/>
      <c r="H17" s="154"/>
      <c r="I17" s="154"/>
    </row>
  </sheetData>
  <sheetProtection/>
  <mergeCells count="20">
    <mergeCell ref="N3:P3"/>
    <mergeCell ref="Q3:Q5"/>
    <mergeCell ref="C4:C5"/>
    <mergeCell ref="D4:D5"/>
    <mergeCell ref="E4:E5"/>
    <mergeCell ref="J4:J5"/>
    <mergeCell ref="N4:N5"/>
    <mergeCell ref="O4:O5"/>
    <mergeCell ref="P4:P5"/>
    <mergeCell ref="H5:I5"/>
    <mergeCell ref="D11:M11"/>
    <mergeCell ref="A1:M1"/>
    <mergeCell ref="A3:A5"/>
    <mergeCell ref="B3:B5"/>
    <mergeCell ref="C3:E3"/>
    <mergeCell ref="F3:F5"/>
    <mergeCell ref="G3:G5"/>
    <mergeCell ref="H3:L3"/>
    <mergeCell ref="M3:M5"/>
    <mergeCell ref="K5:L5"/>
  </mergeCells>
  <printOptions/>
  <pageMargins left="0.31" right="0.28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2:L26"/>
  <sheetViews>
    <sheetView zoomScaleSheetLayoutView="115" zoomScalePageLayoutView="0" workbookViewId="0" topLeftCell="A1">
      <selection activeCell="I19" sqref="I19"/>
    </sheetView>
  </sheetViews>
  <sheetFormatPr defaultColWidth="9.00390625" defaultRowHeight="12.75"/>
  <cols>
    <col min="1" max="1" width="4.625" style="21" customWidth="1"/>
    <col min="2" max="2" width="29.25390625" style="26" customWidth="1"/>
    <col min="3" max="3" width="12.375" style="26" customWidth="1"/>
    <col min="4" max="5" width="9.125" style="26" customWidth="1"/>
    <col min="6" max="6" width="10.375" style="26" customWidth="1"/>
    <col min="7" max="7" width="12.625" style="26" customWidth="1"/>
    <col min="8" max="8" width="10.375" style="26" customWidth="1"/>
    <col min="9" max="9" width="11.75390625" style="26" customWidth="1"/>
    <col min="10" max="10" width="14.625" style="26" customWidth="1"/>
    <col min="11" max="11" width="15.875" style="27" customWidth="1"/>
    <col min="12" max="16384" width="9.125" style="22" customWidth="1"/>
  </cols>
  <sheetData>
    <row r="1" ht="15.75" customHeight="1"/>
    <row r="2" spans="2:11" ht="32.25" customHeight="1">
      <c r="B2" s="1473" t="s">
        <v>91</v>
      </c>
      <c r="C2" s="1473"/>
      <c r="D2" s="1473"/>
      <c r="E2" s="1473"/>
      <c r="F2" s="1473"/>
      <c r="G2" s="1473"/>
      <c r="H2" s="1473"/>
      <c r="I2" s="1473"/>
      <c r="J2" s="1473"/>
      <c r="K2" s="1473"/>
    </row>
    <row r="3" spans="2:11" ht="32.25" customHeight="1" thickBot="1"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56.25" customHeight="1">
      <c r="A4" s="1474" t="s">
        <v>272</v>
      </c>
      <c r="B4" s="1519" t="s">
        <v>79</v>
      </c>
      <c r="C4" s="1522" t="s">
        <v>316</v>
      </c>
      <c r="D4" s="1522" t="s">
        <v>317</v>
      </c>
      <c r="E4" s="1522" t="s">
        <v>322</v>
      </c>
      <c r="F4" s="1522" t="s">
        <v>476</v>
      </c>
      <c r="G4" s="1528" t="s">
        <v>555</v>
      </c>
      <c r="H4" s="1529"/>
      <c r="I4" s="1530"/>
      <c r="J4" s="1522" t="s">
        <v>1442</v>
      </c>
      <c r="K4" s="1524" t="s">
        <v>1441</v>
      </c>
    </row>
    <row r="5" spans="1:11" s="24" customFormat="1" ht="33.75" customHeight="1" thickBot="1">
      <c r="A5" s="1521"/>
      <c r="B5" s="1520"/>
      <c r="C5" s="1523"/>
      <c r="D5" s="1523"/>
      <c r="E5" s="1523"/>
      <c r="F5" s="1523"/>
      <c r="G5" s="905" t="s">
        <v>318</v>
      </c>
      <c r="H5" s="905" t="s">
        <v>319</v>
      </c>
      <c r="I5" s="905" t="s">
        <v>320</v>
      </c>
      <c r="J5" s="1523"/>
      <c r="K5" s="1525"/>
    </row>
    <row r="6" spans="1:11" s="24" customFormat="1" ht="15">
      <c r="A6" s="903"/>
      <c r="B6" s="907" t="s">
        <v>321</v>
      </c>
      <c r="C6" s="908">
        <v>1478320</v>
      </c>
      <c r="D6" s="908">
        <v>100</v>
      </c>
      <c r="E6" s="908" t="s">
        <v>348</v>
      </c>
      <c r="F6" s="908">
        <v>4421705</v>
      </c>
      <c r="G6" s="908">
        <v>2213896</v>
      </c>
      <c r="H6" s="908">
        <f>F6-G6</f>
        <v>2207809</v>
      </c>
      <c r="I6" s="908">
        <v>0</v>
      </c>
      <c r="J6" s="908">
        <v>2213896</v>
      </c>
      <c r="K6" s="904">
        <v>2276065</v>
      </c>
    </row>
    <row r="7" spans="1:11" s="24" customFormat="1" ht="15">
      <c r="A7" s="204" t="s">
        <v>92</v>
      </c>
      <c r="B7" s="87" t="s">
        <v>474</v>
      </c>
      <c r="C7" s="845">
        <f>C6*0.51</f>
        <v>753943.2000000001</v>
      </c>
      <c r="D7" s="845">
        <v>51</v>
      </c>
      <c r="E7" s="845" t="s">
        <v>348</v>
      </c>
      <c r="F7" s="906">
        <f>F6*0.51</f>
        <v>2255069.55</v>
      </c>
      <c r="G7" s="906">
        <f>G6*0.51</f>
        <v>1129086.96</v>
      </c>
      <c r="H7" s="845">
        <f>F7-G7</f>
        <v>1125982.5899999999</v>
      </c>
      <c r="I7" s="845"/>
      <c r="J7" s="906">
        <f>J6*0.51</f>
        <v>1129086.96</v>
      </c>
      <c r="K7" s="847">
        <f>K6*0.51</f>
        <v>1160793.15</v>
      </c>
    </row>
    <row r="8" spans="1:11" s="24" customFormat="1" ht="30">
      <c r="A8" s="204" t="s">
        <v>273</v>
      </c>
      <c r="B8" s="87" t="s">
        <v>475</v>
      </c>
      <c r="C8" s="845">
        <f>C6*0.49</f>
        <v>724376.7999999999</v>
      </c>
      <c r="D8" s="845">
        <v>49</v>
      </c>
      <c r="E8" s="845" t="s">
        <v>348</v>
      </c>
      <c r="F8" s="906">
        <f>F6*0.49</f>
        <v>2166635.45</v>
      </c>
      <c r="G8" s="906">
        <f>G6*0.49</f>
        <v>1084809.04</v>
      </c>
      <c r="H8" s="845">
        <f>F8-G8</f>
        <v>1081826.4100000001</v>
      </c>
      <c r="I8" s="845"/>
      <c r="J8" s="906">
        <f>J6*0.49</f>
        <v>1084809.04</v>
      </c>
      <c r="K8" s="847">
        <f>K6*0.49</f>
        <v>1115271.85</v>
      </c>
    </row>
    <row r="9" spans="1:11" s="24" customFormat="1" ht="15">
      <c r="A9" s="204" t="s">
        <v>267</v>
      </c>
      <c r="B9" s="87"/>
      <c r="C9" s="845"/>
      <c r="D9" s="845"/>
      <c r="E9" s="845"/>
      <c r="F9" s="845"/>
      <c r="G9" s="845"/>
      <c r="H9" s="845"/>
      <c r="I9" s="845"/>
      <c r="J9" s="845"/>
      <c r="K9" s="223"/>
    </row>
    <row r="10" spans="1:11" s="24" customFormat="1" ht="28.5">
      <c r="A10" s="204"/>
      <c r="B10" s="124" t="s">
        <v>323</v>
      </c>
      <c r="C10" s="845"/>
      <c r="D10" s="845"/>
      <c r="E10" s="845"/>
      <c r="F10" s="845"/>
      <c r="G10" s="845"/>
      <c r="H10" s="845"/>
      <c r="I10" s="845"/>
      <c r="J10" s="845"/>
      <c r="K10" s="223"/>
    </row>
    <row r="11" spans="1:11" s="24" customFormat="1" ht="15">
      <c r="A11" s="204" t="s">
        <v>92</v>
      </c>
      <c r="B11" s="87"/>
      <c r="C11" s="845"/>
      <c r="D11" s="845"/>
      <c r="E11" s="845"/>
      <c r="F11" s="845"/>
      <c r="G11" s="845"/>
      <c r="H11" s="845"/>
      <c r="I11" s="845"/>
      <c r="J11" s="845"/>
      <c r="K11" s="223"/>
    </row>
    <row r="12" spans="1:11" s="24" customFormat="1" ht="15">
      <c r="A12" s="204" t="s">
        <v>273</v>
      </c>
      <c r="B12" s="87"/>
      <c r="C12" s="845"/>
      <c r="D12" s="845"/>
      <c r="E12" s="845"/>
      <c r="F12" s="845"/>
      <c r="G12" s="845"/>
      <c r="H12" s="845"/>
      <c r="I12" s="845"/>
      <c r="J12" s="845"/>
      <c r="K12" s="223"/>
    </row>
    <row r="13" spans="1:11" s="24" customFormat="1" ht="15">
      <c r="A13" s="204"/>
      <c r="B13" s="87"/>
      <c r="C13" s="845"/>
      <c r="D13" s="845"/>
      <c r="E13" s="845"/>
      <c r="F13" s="845"/>
      <c r="G13" s="845"/>
      <c r="H13" s="845"/>
      <c r="I13" s="845"/>
      <c r="J13" s="845"/>
      <c r="K13" s="223"/>
    </row>
    <row r="14" spans="1:11" s="24" customFormat="1" ht="15">
      <c r="A14" s="204"/>
      <c r="B14" s="87"/>
      <c r="C14" s="87"/>
      <c r="D14" s="87"/>
      <c r="E14" s="87"/>
      <c r="F14" s="87"/>
      <c r="G14" s="87"/>
      <c r="H14" s="87"/>
      <c r="I14" s="87"/>
      <c r="J14" s="87"/>
      <c r="K14" s="223"/>
    </row>
    <row r="15" spans="1:11" s="24" customFormat="1" ht="15">
      <c r="A15" s="1526" t="s">
        <v>87</v>
      </c>
      <c r="B15" s="1527"/>
      <c r="C15" s="23"/>
      <c r="D15" s="23"/>
      <c r="E15" s="23"/>
      <c r="F15" s="23"/>
      <c r="G15" s="23"/>
      <c r="H15" s="23"/>
      <c r="I15" s="23"/>
      <c r="J15" s="23"/>
      <c r="K15" s="224"/>
    </row>
    <row r="16" spans="1:11" s="24" customFormat="1" ht="15">
      <c r="A16" s="204" t="s">
        <v>92</v>
      </c>
      <c r="B16" s="87"/>
      <c r="C16" s="87"/>
      <c r="D16" s="87"/>
      <c r="E16" s="87"/>
      <c r="F16" s="87"/>
      <c r="G16" s="87"/>
      <c r="H16" s="87"/>
      <c r="I16" s="87"/>
      <c r="J16" s="87"/>
      <c r="K16" s="225"/>
    </row>
    <row r="17" spans="1:11" s="24" customFormat="1" ht="15">
      <c r="A17" s="204" t="s">
        <v>273</v>
      </c>
      <c r="B17" s="87"/>
      <c r="C17" s="87"/>
      <c r="D17" s="87"/>
      <c r="E17" s="87"/>
      <c r="F17" s="87"/>
      <c r="G17" s="87"/>
      <c r="H17" s="87"/>
      <c r="I17" s="87"/>
      <c r="J17" s="87"/>
      <c r="K17" s="225"/>
    </row>
    <row r="18" spans="1:11" s="24" customFormat="1" ht="15.75" thickBot="1">
      <c r="A18" s="226" t="s">
        <v>92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8"/>
    </row>
    <row r="21" spans="3:12" ht="15.75">
      <c r="C21" s="1331" t="s">
        <v>1096</v>
      </c>
      <c r="D21" s="1331"/>
      <c r="E21" s="1331"/>
      <c r="F21" s="1331"/>
      <c r="G21" s="1331"/>
      <c r="H21" s="1331"/>
      <c r="I21" s="1331"/>
      <c r="J21" s="1331"/>
      <c r="K21" s="1331"/>
      <c r="L21" s="1331"/>
    </row>
    <row r="22" spans="3:12" ht="15.75">
      <c r="C22" s="156" t="s">
        <v>351</v>
      </c>
      <c r="D22" s="154"/>
      <c r="E22" s="157"/>
      <c r="F22" s="156"/>
      <c r="G22" s="156"/>
      <c r="H22" s="157"/>
      <c r="I22" s="27"/>
      <c r="J22"/>
      <c r="K22"/>
      <c r="L22"/>
    </row>
    <row r="23" spans="3:12" ht="15.75">
      <c r="C23" s="154"/>
      <c r="D23" s="154"/>
      <c r="E23" s="158"/>
      <c r="F23" s="154"/>
      <c r="G23" s="154"/>
      <c r="H23" s="158"/>
      <c r="I23" s="27"/>
      <c r="J23"/>
      <c r="K23"/>
      <c r="L23"/>
    </row>
    <row r="24" spans="3:12" ht="15.75">
      <c r="C24" s="1331" t="s">
        <v>1467</v>
      </c>
      <c r="D24" s="1331"/>
      <c r="E24" s="1331"/>
      <c r="F24" s="1331"/>
      <c r="G24" s="1331"/>
      <c r="H24" s="1331"/>
      <c r="I24" s="1331"/>
      <c r="J24" s="1331"/>
      <c r="K24" s="1331"/>
      <c r="L24"/>
    </row>
    <row r="25" spans="3:12" ht="15.75">
      <c r="C25" s="154"/>
      <c r="D25" s="154"/>
      <c r="E25" s="154"/>
      <c r="F25" s="154"/>
      <c r="G25" s="154"/>
      <c r="H25" s="154"/>
      <c r="I25" s="27"/>
      <c r="J25"/>
      <c r="K25"/>
      <c r="L25"/>
    </row>
    <row r="26" spans="3:12" ht="15.75">
      <c r="C26" s="1331" t="s">
        <v>1468</v>
      </c>
      <c r="D26" s="1331"/>
      <c r="E26" s="1331"/>
      <c r="F26" s="1331"/>
      <c r="G26" s="1331"/>
      <c r="H26" s="1331"/>
      <c r="I26" s="1331"/>
      <c r="J26" s="1331"/>
      <c r="K26" s="1331"/>
      <c r="L26"/>
    </row>
  </sheetData>
  <sheetProtection/>
  <mergeCells count="14">
    <mergeCell ref="B2:K2"/>
    <mergeCell ref="A15:B15"/>
    <mergeCell ref="G4:I4"/>
    <mergeCell ref="J4:J5"/>
    <mergeCell ref="F4:F5"/>
    <mergeCell ref="D4:D5"/>
    <mergeCell ref="C4:C5"/>
    <mergeCell ref="C21:L21"/>
    <mergeCell ref="C24:K24"/>
    <mergeCell ref="C26:K26"/>
    <mergeCell ref="B4:B5"/>
    <mergeCell ref="A4:A5"/>
    <mergeCell ref="E4:E5"/>
    <mergeCell ref="K4:K5"/>
  </mergeCells>
  <printOptions/>
  <pageMargins left="0.5905511811023623" right="0.31496062992125984" top="0.5905511811023623" bottom="0.3937007874015748" header="0.31496062992125984" footer="0.1968503937007874"/>
  <pageSetup horizontalDpi="600" verticalDpi="6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SheetLayoutView="115" zoomScalePageLayoutView="0" workbookViewId="0" topLeftCell="A1">
      <selection activeCell="C7" sqref="C7"/>
    </sheetView>
  </sheetViews>
  <sheetFormatPr defaultColWidth="9.00390625" defaultRowHeight="12.75"/>
  <cols>
    <col min="1" max="1" width="9.00390625" style="21" customWidth="1"/>
    <col min="2" max="2" width="41.00390625" style="26" customWidth="1"/>
    <col min="3" max="3" width="15.00390625" style="27" customWidth="1"/>
    <col min="4" max="4" width="11.875" style="27" customWidth="1"/>
    <col min="5" max="5" width="10.375" style="27" customWidth="1"/>
    <col min="6" max="6" width="10.25390625" style="27" customWidth="1"/>
    <col min="7" max="7" width="15.00390625" style="27" customWidth="1"/>
    <col min="8" max="8" width="14.75390625" style="27" customWidth="1"/>
    <col min="9" max="16384" width="9.125" style="22" customWidth="1"/>
  </cols>
  <sheetData>
    <row r="1" ht="15.75" customHeight="1">
      <c r="H1" s="88" t="s">
        <v>53</v>
      </c>
    </row>
    <row r="2" spans="2:8" ht="32.25" customHeight="1">
      <c r="B2" s="1473" t="s">
        <v>1296</v>
      </c>
      <c r="C2" s="1473"/>
      <c r="D2" s="1473"/>
      <c r="E2" s="1473"/>
      <c r="F2" s="1473"/>
      <c r="G2" s="1473"/>
      <c r="H2" s="1473"/>
    </row>
    <row r="3" spans="2:8" ht="32.25" customHeight="1" thickBot="1">
      <c r="B3" s="793"/>
      <c r="C3" s="793"/>
      <c r="D3" s="793"/>
      <c r="E3" s="793"/>
      <c r="F3" s="793"/>
      <c r="G3" s="793"/>
      <c r="H3" s="856" t="s">
        <v>459</v>
      </c>
    </row>
    <row r="4" spans="1:8" ht="31.5" customHeight="1">
      <c r="A4" s="1490" t="s">
        <v>272</v>
      </c>
      <c r="B4" s="1535" t="s">
        <v>251</v>
      </c>
      <c r="C4" s="1537" t="s">
        <v>1293</v>
      </c>
      <c r="D4" s="1539" t="s">
        <v>1294</v>
      </c>
      <c r="E4" s="1539"/>
      <c r="F4" s="1539"/>
      <c r="G4" s="1539"/>
      <c r="H4" s="1532" t="s">
        <v>1295</v>
      </c>
    </row>
    <row r="5" spans="1:8" ht="24">
      <c r="A5" s="1534"/>
      <c r="B5" s="1536"/>
      <c r="C5" s="1538"/>
      <c r="D5" s="90" t="s">
        <v>334</v>
      </c>
      <c r="E5" s="91" t="s">
        <v>93</v>
      </c>
      <c r="F5" s="91" t="s">
        <v>94</v>
      </c>
      <c r="G5" s="91" t="s">
        <v>95</v>
      </c>
      <c r="H5" s="1533"/>
    </row>
    <row r="6" spans="1:8" s="24" customFormat="1" ht="15">
      <c r="A6" s="204" t="s">
        <v>92</v>
      </c>
      <c r="B6" s="87" t="s">
        <v>332</v>
      </c>
      <c r="C6" s="89">
        <v>16317947</v>
      </c>
      <c r="D6" s="86">
        <v>17297024</v>
      </c>
      <c r="E6" s="86">
        <v>8410396</v>
      </c>
      <c r="F6" s="86">
        <f>D6-E6</f>
        <v>8886628</v>
      </c>
      <c r="G6" s="229">
        <v>479077</v>
      </c>
      <c r="H6" s="224">
        <v>1724497</v>
      </c>
    </row>
    <row r="7" spans="1:8" s="24" customFormat="1" ht="15">
      <c r="A7" s="204" t="s">
        <v>273</v>
      </c>
      <c r="B7" s="87" t="s">
        <v>333</v>
      </c>
      <c r="C7" s="109">
        <v>22367</v>
      </c>
      <c r="D7" s="86">
        <v>22367</v>
      </c>
      <c r="E7" s="107">
        <v>13828</v>
      </c>
      <c r="F7" s="86">
        <f>D7-E7</f>
        <v>8539</v>
      </c>
      <c r="G7" s="86">
        <v>0</v>
      </c>
      <c r="H7" s="224">
        <v>4473</v>
      </c>
    </row>
    <row r="8" spans="1:8" s="24" customFormat="1" ht="15">
      <c r="A8" s="204"/>
      <c r="B8" s="87"/>
      <c r="C8" s="86"/>
      <c r="D8" s="86"/>
      <c r="E8" s="86"/>
      <c r="F8" s="86"/>
      <c r="G8" s="86"/>
      <c r="H8" s="224"/>
    </row>
    <row r="9" spans="1:8" ht="15.75" thickBot="1">
      <c r="A9" s="220"/>
      <c r="B9" s="231"/>
      <c r="C9" s="232"/>
      <c r="D9" s="232"/>
      <c r="E9" s="232"/>
      <c r="F9" s="232"/>
      <c r="G9" s="232"/>
      <c r="H9" s="233"/>
    </row>
    <row r="12" spans="3:10" ht="15">
      <c r="C12" s="26"/>
      <c r="D12" s="26"/>
      <c r="E12" s="26"/>
      <c r="F12" s="26"/>
      <c r="G12" s="26"/>
      <c r="H12" s="26"/>
      <c r="I12" s="26"/>
      <c r="J12" s="27"/>
    </row>
    <row r="13" spans="2:11" ht="15">
      <c r="B13" s="1531" t="s">
        <v>1470</v>
      </c>
      <c r="C13" s="1531"/>
      <c r="D13" s="1531"/>
      <c r="E13" s="1531"/>
      <c r="F13" s="1531"/>
      <c r="G13" s="1531"/>
      <c r="H13" s="1531"/>
      <c r="I13" s="1531"/>
      <c r="J13" s="1531"/>
      <c r="K13" s="1531"/>
    </row>
    <row r="14" spans="2:11" ht="15">
      <c r="B14" s="658" t="s">
        <v>351</v>
      </c>
      <c r="C14" s="513"/>
      <c r="D14" s="816"/>
      <c r="E14" s="658"/>
      <c r="F14" s="658"/>
      <c r="G14" s="816"/>
      <c r="I14" s="513"/>
      <c r="J14" s="513"/>
      <c r="K14" s="513"/>
    </row>
    <row r="15" spans="2:11" ht="15">
      <c r="B15" s="513"/>
      <c r="C15" s="513"/>
      <c r="D15" s="817"/>
      <c r="E15" s="513"/>
      <c r="F15" s="513"/>
      <c r="G15" s="817"/>
      <c r="I15" s="513"/>
      <c r="J15" s="513"/>
      <c r="K15" s="513"/>
    </row>
    <row r="16" spans="2:11" ht="15">
      <c r="B16" s="1531" t="s">
        <v>1469</v>
      </c>
      <c r="C16" s="1531"/>
      <c r="D16" s="1531"/>
      <c r="E16" s="1531"/>
      <c r="F16" s="1531"/>
      <c r="G16" s="1531"/>
      <c r="H16" s="1531"/>
      <c r="I16" s="1531"/>
      <c r="J16" s="1531"/>
      <c r="K16" s="513"/>
    </row>
    <row r="17" spans="2:11" ht="15">
      <c r="B17" s="513"/>
      <c r="C17" s="513"/>
      <c r="D17" s="513"/>
      <c r="E17" s="513"/>
      <c r="F17" s="513"/>
      <c r="G17" s="513"/>
      <c r="I17" s="513"/>
      <c r="J17" s="513"/>
      <c r="K17" s="513"/>
    </row>
    <row r="18" spans="2:11" ht="15">
      <c r="B18" s="1531" t="s">
        <v>1262</v>
      </c>
      <c r="C18" s="1531"/>
      <c r="D18" s="1531"/>
      <c r="E18" s="1531"/>
      <c r="F18" s="1531"/>
      <c r="G18" s="1531"/>
      <c r="H18" s="1531"/>
      <c r="I18" s="1531"/>
      <c r="J18" s="1531"/>
      <c r="K18" s="513"/>
    </row>
    <row r="19" spans="3:10" ht="15">
      <c r="C19" s="26"/>
      <c r="D19" s="26"/>
      <c r="E19" s="26"/>
      <c r="F19" s="26"/>
      <c r="G19" s="26"/>
      <c r="H19" s="26"/>
      <c r="I19" s="26"/>
      <c r="J19" s="27"/>
    </row>
  </sheetData>
  <sheetProtection/>
  <mergeCells count="9">
    <mergeCell ref="B13:K13"/>
    <mergeCell ref="B16:J16"/>
    <mergeCell ref="B18:J18"/>
    <mergeCell ref="H4:H5"/>
    <mergeCell ref="B2:H2"/>
    <mergeCell ref="A4:A5"/>
    <mergeCell ref="B4:B5"/>
    <mergeCell ref="C4:C5"/>
    <mergeCell ref="D4:G4"/>
  </mergeCells>
  <printOptions/>
  <pageMargins left="0.5905511811023623" right="0.31496062992125984" top="0.5905511811023623" bottom="0.3937007874015748" header="0.31496062992125984" footer="0.1968503937007874"/>
  <pageSetup horizontalDpi="600" verticalDpi="600"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9.125" style="1170" customWidth="1"/>
    <col min="2" max="2" width="53.875" style="1176" customWidth="1"/>
    <col min="3" max="3" width="16.00390625" style="1172" customWidth="1"/>
    <col min="4" max="4" width="19.00390625" style="1172" customWidth="1"/>
    <col min="5" max="5" width="11.625" style="1177" customWidth="1"/>
    <col min="6" max="6" width="12.75390625" style="1170" customWidth="1"/>
    <col min="7" max="7" width="9.125" style="1175" customWidth="1"/>
    <col min="8" max="8" width="13.625" style="1170" customWidth="1"/>
    <col min="9" max="16384" width="9.125" style="1175" customWidth="1"/>
  </cols>
  <sheetData>
    <row r="1" spans="2:7" ht="15.75">
      <c r="B1" s="1171" t="s">
        <v>1486</v>
      </c>
      <c r="E1" s="1540" t="s">
        <v>1487</v>
      </c>
      <c r="F1" s="1540"/>
      <c r="G1" s="1540"/>
    </row>
    <row r="2" spans="2:5" ht="15.75">
      <c r="B2" s="1173" t="s">
        <v>1488</v>
      </c>
      <c r="E2" s="1174" t="s">
        <v>681</v>
      </c>
    </row>
    <row r="3" spans="2:5" ht="15.75">
      <c r="B3" s="1173" t="s">
        <v>1489</v>
      </c>
      <c r="E3" s="1173" t="s">
        <v>1490</v>
      </c>
    </row>
    <row r="4" spans="2:5" ht="15.75">
      <c r="B4" s="1173" t="s">
        <v>1491</v>
      </c>
      <c r="E4" s="1173" t="s">
        <v>1492</v>
      </c>
    </row>
    <row r="5" spans="2:5" ht="15.75">
      <c r="B5" s="1173"/>
      <c r="E5" s="1173"/>
    </row>
    <row r="6" spans="2:5" ht="15.75">
      <c r="B6" s="1173"/>
      <c r="E6" s="1173"/>
    </row>
    <row r="7" spans="1:8" ht="18.75">
      <c r="A7" s="1541" t="s">
        <v>1493</v>
      </c>
      <c r="B7" s="1541"/>
      <c r="C7" s="1541"/>
      <c r="D7" s="1541"/>
      <c r="E7" s="1541"/>
      <c r="F7" s="1541"/>
      <c r="G7" s="1541"/>
      <c r="H7" s="1541"/>
    </row>
    <row r="8" spans="1:8" ht="18.75">
      <c r="A8" s="1541" t="s">
        <v>1494</v>
      </c>
      <c r="B8" s="1541"/>
      <c r="C8" s="1541"/>
      <c r="D8" s="1541"/>
      <c r="E8" s="1541"/>
      <c r="F8" s="1541"/>
      <c r="G8" s="1541"/>
      <c r="H8" s="1541"/>
    </row>
    <row r="10" spans="1:8" s="1214" customFormat="1" ht="15">
      <c r="A10" s="1542" t="s">
        <v>249</v>
      </c>
      <c r="B10" s="1542" t="s">
        <v>1495</v>
      </c>
      <c r="C10" s="1542" t="s">
        <v>1496</v>
      </c>
      <c r="D10" s="1542" t="s">
        <v>1497</v>
      </c>
      <c r="E10" s="1543" t="s">
        <v>1498</v>
      </c>
      <c r="F10" s="1542" t="s">
        <v>1499</v>
      </c>
      <c r="G10" s="1542"/>
      <c r="H10" s="1542" t="s">
        <v>1500</v>
      </c>
    </row>
    <row r="11" spans="1:8" s="1214" customFormat="1" ht="42.75">
      <c r="A11" s="1542"/>
      <c r="B11" s="1542"/>
      <c r="C11" s="1542"/>
      <c r="D11" s="1542"/>
      <c r="E11" s="1543"/>
      <c r="F11" s="1178" t="s">
        <v>1501</v>
      </c>
      <c r="G11" s="1178" t="s">
        <v>1502</v>
      </c>
      <c r="H11" s="1542"/>
    </row>
    <row r="12" spans="1:8" s="1214" customFormat="1" ht="15">
      <c r="A12" s="1178">
        <v>1</v>
      </c>
      <c r="B12" s="1178">
        <v>2</v>
      </c>
      <c r="C12" s="1178">
        <v>3</v>
      </c>
      <c r="D12" s="1178">
        <v>4</v>
      </c>
      <c r="E12" s="1179">
        <v>5</v>
      </c>
      <c r="F12" s="1178">
        <v>6</v>
      </c>
      <c r="G12" s="1178">
        <v>7</v>
      </c>
      <c r="H12" s="1178">
        <v>8</v>
      </c>
    </row>
    <row r="13" spans="1:8" ht="31.5">
      <c r="A13" s="1180">
        <v>1</v>
      </c>
      <c r="B13" s="1181" t="s">
        <v>1503</v>
      </c>
      <c r="C13" s="1182" t="s">
        <v>1504</v>
      </c>
      <c r="D13" s="1182" t="s">
        <v>1505</v>
      </c>
      <c r="E13" s="1183">
        <v>70000</v>
      </c>
      <c r="F13" s="1183">
        <f>E13</f>
        <v>70000</v>
      </c>
      <c r="G13" s="1184"/>
      <c r="H13" s="1180" t="s">
        <v>1506</v>
      </c>
    </row>
    <row r="14" spans="1:8" ht="45">
      <c r="A14" s="1180">
        <v>2</v>
      </c>
      <c r="B14" s="1185" t="s">
        <v>1507</v>
      </c>
      <c r="C14" s="1182" t="s">
        <v>1508</v>
      </c>
      <c r="D14" s="1182" t="s">
        <v>1509</v>
      </c>
      <c r="E14" s="1183">
        <v>500</v>
      </c>
      <c r="F14" s="1183">
        <f aca="true" t="shared" si="0" ref="F14:F22">E14</f>
        <v>500</v>
      </c>
      <c r="G14" s="1184"/>
      <c r="H14" s="1180" t="s">
        <v>1506</v>
      </c>
    </row>
    <row r="15" spans="1:8" ht="30">
      <c r="A15" s="1180">
        <v>3</v>
      </c>
      <c r="B15" s="1185" t="s">
        <v>1510</v>
      </c>
      <c r="C15" s="1182" t="s">
        <v>1508</v>
      </c>
      <c r="D15" s="1182" t="s">
        <v>1511</v>
      </c>
      <c r="E15" s="1183">
        <v>5000</v>
      </c>
      <c r="F15" s="1183">
        <f t="shared" si="0"/>
        <v>5000</v>
      </c>
      <c r="G15" s="1184"/>
      <c r="H15" s="1180" t="s">
        <v>1506</v>
      </c>
    </row>
    <row r="16" spans="1:8" s="1210" customFormat="1" ht="14.25">
      <c r="A16" s="1186"/>
      <c r="B16" s="1187" t="s">
        <v>1512</v>
      </c>
      <c r="C16" s="1188"/>
      <c r="D16" s="1188"/>
      <c r="E16" s="1189">
        <f>SUM(E13:E15)</f>
        <v>75500</v>
      </c>
      <c r="F16" s="1189">
        <f>SUM(F13:F15)</f>
        <v>75500</v>
      </c>
      <c r="G16" s="1190"/>
      <c r="H16" s="1186"/>
    </row>
    <row r="17" spans="1:8" ht="31.5">
      <c r="A17" s="1180">
        <v>4</v>
      </c>
      <c r="B17" s="1181" t="s">
        <v>1513</v>
      </c>
      <c r="C17" s="1182" t="s">
        <v>1504</v>
      </c>
      <c r="D17" s="1182" t="s">
        <v>1514</v>
      </c>
      <c r="E17" s="1191">
        <v>49000</v>
      </c>
      <c r="F17" s="1183">
        <f t="shared" si="0"/>
        <v>49000</v>
      </c>
      <c r="G17" s="1184"/>
      <c r="H17" s="1180" t="s">
        <v>1515</v>
      </c>
    </row>
    <row r="18" spans="1:8" ht="30">
      <c r="A18" s="1180">
        <v>5</v>
      </c>
      <c r="B18" s="1181" t="s">
        <v>1516</v>
      </c>
      <c r="C18" s="1182" t="s">
        <v>1504</v>
      </c>
      <c r="D18" s="1182" t="s">
        <v>1505</v>
      </c>
      <c r="E18" s="1191">
        <v>10000</v>
      </c>
      <c r="F18" s="1183">
        <f t="shared" si="0"/>
        <v>10000</v>
      </c>
      <c r="G18" s="1184"/>
      <c r="H18" s="1180" t="s">
        <v>1515</v>
      </c>
    </row>
    <row r="19" spans="1:8" ht="31.5">
      <c r="A19" s="1180">
        <v>6</v>
      </c>
      <c r="B19" s="1181" t="s">
        <v>1517</v>
      </c>
      <c r="C19" s="1182" t="s">
        <v>1504</v>
      </c>
      <c r="D19" s="1182" t="s">
        <v>1505</v>
      </c>
      <c r="E19" s="1183">
        <v>230000</v>
      </c>
      <c r="F19" s="1183">
        <f t="shared" si="0"/>
        <v>230000</v>
      </c>
      <c r="G19" s="1184"/>
      <c r="H19" s="1180" t="s">
        <v>1515</v>
      </c>
    </row>
    <row r="20" spans="1:8" ht="30">
      <c r="A20" s="1180">
        <v>7</v>
      </c>
      <c r="B20" s="1192" t="s">
        <v>1518</v>
      </c>
      <c r="C20" s="1182" t="s">
        <v>1508</v>
      </c>
      <c r="D20" s="1182" t="s">
        <v>1519</v>
      </c>
      <c r="E20" s="1193">
        <v>1390</v>
      </c>
      <c r="F20" s="1183">
        <f t="shared" si="0"/>
        <v>1390</v>
      </c>
      <c r="G20" s="1184"/>
      <c r="H20" s="1180" t="s">
        <v>1515</v>
      </c>
    </row>
    <row r="21" spans="1:8" ht="31.5">
      <c r="A21" s="1180">
        <v>8</v>
      </c>
      <c r="B21" s="1192" t="s">
        <v>1520</v>
      </c>
      <c r="C21" s="1182" t="s">
        <v>1508</v>
      </c>
      <c r="D21" s="1182" t="s">
        <v>1511</v>
      </c>
      <c r="E21" s="1193">
        <v>5000</v>
      </c>
      <c r="F21" s="1183">
        <f t="shared" si="0"/>
        <v>5000</v>
      </c>
      <c r="G21" s="1184"/>
      <c r="H21" s="1180" t="s">
        <v>1515</v>
      </c>
    </row>
    <row r="22" spans="1:8" ht="30">
      <c r="A22" s="1180">
        <v>9</v>
      </c>
      <c r="B22" s="1194" t="s">
        <v>1521</v>
      </c>
      <c r="C22" s="1182" t="s">
        <v>1508</v>
      </c>
      <c r="D22" s="1182" t="s">
        <v>1522</v>
      </c>
      <c r="E22" s="1193">
        <v>54000</v>
      </c>
      <c r="F22" s="1183">
        <f t="shared" si="0"/>
        <v>54000</v>
      </c>
      <c r="G22" s="1184"/>
      <c r="H22" s="1180" t="s">
        <v>1515</v>
      </c>
    </row>
    <row r="23" spans="1:8" s="1210" customFormat="1" ht="14.25">
      <c r="A23" s="1186"/>
      <c r="B23" s="1187" t="s">
        <v>1523</v>
      </c>
      <c r="C23" s="1188"/>
      <c r="D23" s="1188"/>
      <c r="E23" s="1189">
        <f>SUM(E17:E22)</f>
        <v>349390</v>
      </c>
      <c r="F23" s="1189">
        <f>SUM(F17:F22)</f>
        <v>349390</v>
      </c>
      <c r="G23" s="1190"/>
      <c r="H23" s="1186"/>
    </row>
    <row r="24" spans="1:8" ht="15.75">
      <c r="A24" s="1180">
        <v>10</v>
      </c>
      <c r="B24" s="1181" t="s">
        <v>1524</v>
      </c>
      <c r="C24" s="1195" t="s">
        <v>1504</v>
      </c>
      <c r="D24" s="1182" t="s">
        <v>1509</v>
      </c>
      <c r="E24" s="1191">
        <v>137000</v>
      </c>
      <c r="F24" s="1183">
        <f>E24</f>
        <v>137000</v>
      </c>
      <c r="G24" s="1184"/>
      <c r="H24" s="1180" t="s">
        <v>1525</v>
      </c>
    </row>
    <row r="25" spans="1:8" ht="31.5">
      <c r="A25" s="1180">
        <v>11</v>
      </c>
      <c r="B25" s="1181" t="s">
        <v>1526</v>
      </c>
      <c r="C25" s="1195" t="s">
        <v>1504</v>
      </c>
      <c r="D25" s="1182" t="s">
        <v>1509</v>
      </c>
      <c r="E25" s="1191">
        <v>123000</v>
      </c>
      <c r="F25" s="1183">
        <f aca="true" t="shared" si="1" ref="F25:F31">E25</f>
        <v>123000</v>
      </c>
      <c r="G25" s="1184"/>
      <c r="H25" s="1180" t="s">
        <v>1525</v>
      </c>
    </row>
    <row r="26" spans="1:8" ht="31.5">
      <c r="A26" s="1180">
        <v>12</v>
      </c>
      <c r="B26" s="1181" t="s">
        <v>1527</v>
      </c>
      <c r="C26" s="1195" t="s">
        <v>1504</v>
      </c>
      <c r="D26" s="1182" t="s">
        <v>1528</v>
      </c>
      <c r="E26" s="1191">
        <v>73000</v>
      </c>
      <c r="F26" s="1183">
        <f t="shared" si="1"/>
        <v>73000</v>
      </c>
      <c r="G26" s="1184"/>
      <c r="H26" s="1180" t="s">
        <v>1525</v>
      </c>
    </row>
    <row r="27" spans="1:8" ht="31.5">
      <c r="A27" s="1180">
        <v>13</v>
      </c>
      <c r="B27" s="1192" t="s">
        <v>1529</v>
      </c>
      <c r="C27" s="1195" t="s">
        <v>1508</v>
      </c>
      <c r="D27" s="1182" t="s">
        <v>1511</v>
      </c>
      <c r="E27" s="1193">
        <v>1975</v>
      </c>
      <c r="F27" s="1183">
        <f t="shared" si="1"/>
        <v>1975</v>
      </c>
      <c r="G27" s="1184"/>
      <c r="H27" s="1180" t="s">
        <v>1525</v>
      </c>
    </row>
    <row r="28" spans="1:8" ht="30">
      <c r="A28" s="1180">
        <v>14</v>
      </c>
      <c r="B28" s="1192" t="s">
        <v>1530</v>
      </c>
      <c r="C28" s="1195" t="s">
        <v>1508</v>
      </c>
      <c r="D28" s="1182" t="s">
        <v>1531</v>
      </c>
      <c r="E28" s="1193">
        <v>4000</v>
      </c>
      <c r="F28" s="1183">
        <f t="shared" si="1"/>
        <v>4000</v>
      </c>
      <c r="G28" s="1184"/>
      <c r="H28" s="1180" t="s">
        <v>1525</v>
      </c>
    </row>
    <row r="29" spans="1:8" ht="30">
      <c r="A29" s="1180">
        <v>15</v>
      </c>
      <c r="B29" s="1192" t="s">
        <v>1532</v>
      </c>
      <c r="C29" s="1195" t="s">
        <v>1508</v>
      </c>
      <c r="D29" s="1182" t="s">
        <v>1509</v>
      </c>
      <c r="E29" s="1193">
        <v>45000</v>
      </c>
      <c r="F29" s="1183">
        <f t="shared" si="1"/>
        <v>45000</v>
      </c>
      <c r="G29" s="1184"/>
      <c r="H29" s="1180" t="s">
        <v>1525</v>
      </c>
    </row>
    <row r="30" spans="1:8" ht="30">
      <c r="A30" s="1180">
        <v>16</v>
      </c>
      <c r="B30" s="1192" t="s">
        <v>1533</v>
      </c>
      <c r="C30" s="1195" t="s">
        <v>1508</v>
      </c>
      <c r="D30" s="1182" t="s">
        <v>1511</v>
      </c>
      <c r="E30" s="1193">
        <v>30000</v>
      </c>
      <c r="F30" s="1183">
        <f t="shared" si="1"/>
        <v>30000</v>
      </c>
      <c r="G30" s="1184"/>
      <c r="H30" s="1180" t="s">
        <v>1525</v>
      </c>
    </row>
    <row r="31" spans="1:8" ht="30">
      <c r="A31" s="1180">
        <v>17</v>
      </c>
      <c r="B31" s="1194" t="s">
        <v>1534</v>
      </c>
      <c r="C31" s="1195" t="s">
        <v>1508</v>
      </c>
      <c r="D31" s="1182" t="s">
        <v>1511</v>
      </c>
      <c r="E31" s="1193">
        <v>20000</v>
      </c>
      <c r="F31" s="1183">
        <f t="shared" si="1"/>
        <v>20000</v>
      </c>
      <c r="G31" s="1184"/>
      <c r="H31" s="1180" t="s">
        <v>1525</v>
      </c>
    </row>
    <row r="32" spans="1:8" s="1210" customFormat="1" ht="14.25">
      <c r="A32" s="1186"/>
      <c r="B32" s="1187" t="s">
        <v>1535</v>
      </c>
      <c r="C32" s="1188"/>
      <c r="D32" s="1188"/>
      <c r="E32" s="1189">
        <f>SUM(E24:E31)</f>
        <v>433975</v>
      </c>
      <c r="F32" s="1189">
        <f>SUM(F24:F31)</f>
        <v>433975</v>
      </c>
      <c r="G32" s="1190"/>
      <c r="H32" s="1186"/>
    </row>
    <row r="33" spans="1:8" ht="30">
      <c r="A33" s="1180">
        <v>18</v>
      </c>
      <c r="B33" s="1181" t="s">
        <v>1536</v>
      </c>
      <c r="C33" s="1195" t="s">
        <v>1504</v>
      </c>
      <c r="D33" s="1182" t="s">
        <v>1537</v>
      </c>
      <c r="E33" s="1183">
        <v>1500000</v>
      </c>
      <c r="F33" s="1183">
        <f aca="true" t="shared" si="2" ref="F33:F38">E33</f>
        <v>1500000</v>
      </c>
      <c r="G33" s="1184"/>
      <c r="H33" s="1180" t="s">
        <v>1538</v>
      </c>
    </row>
    <row r="34" spans="1:8" ht="63.75">
      <c r="A34" s="1180">
        <v>19</v>
      </c>
      <c r="B34" s="1181" t="s">
        <v>1539</v>
      </c>
      <c r="C34" s="1195" t="s">
        <v>1504</v>
      </c>
      <c r="D34" s="1182" t="s">
        <v>1505</v>
      </c>
      <c r="E34" s="1183">
        <v>300000</v>
      </c>
      <c r="F34" s="1183">
        <f t="shared" si="2"/>
        <v>300000</v>
      </c>
      <c r="G34" s="1184"/>
      <c r="H34" s="1180" t="s">
        <v>1538</v>
      </c>
    </row>
    <row r="35" spans="1:8" ht="30">
      <c r="A35" s="1180">
        <v>20</v>
      </c>
      <c r="B35" s="1196" t="s">
        <v>1540</v>
      </c>
      <c r="C35" s="1195" t="s">
        <v>1504</v>
      </c>
      <c r="D35" s="1182" t="s">
        <v>1509</v>
      </c>
      <c r="E35" s="1183">
        <v>20000</v>
      </c>
      <c r="F35" s="1183">
        <f t="shared" si="2"/>
        <v>20000</v>
      </c>
      <c r="G35" s="1184"/>
      <c r="H35" s="1180" t="s">
        <v>1538</v>
      </c>
    </row>
    <row r="36" spans="1:8" ht="31.5">
      <c r="A36" s="1180">
        <v>21</v>
      </c>
      <c r="B36" s="1197" t="s">
        <v>1541</v>
      </c>
      <c r="C36" s="1195" t="s">
        <v>1504</v>
      </c>
      <c r="D36" s="1182" t="s">
        <v>1542</v>
      </c>
      <c r="E36" s="1183">
        <v>20000</v>
      </c>
      <c r="F36" s="1183">
        <f t="shared" si="2"/>
        <v>20000</v>
      </c>
      <c r="G36" s="1184"/>
      <c r="H36" s="1180" t="s">
        <v>1538</v>
      </c>
    </row>
    <row r="37" spans="1:8" ht="30">
      <c r="A37" s="1180">
        <v>22</v>
      </c>
      <c r="B37" s="1194" t="s">
        <v>1543</v>
      </c>
      <c r="C37" s="1195" t="s">
        <v>1508</v>
      </c>
      <c r="D37" s="1182" t="s">
        <v>1511</v>
      </c>
      <c r="E37" s="1183">
        <v>30000</v>
      </c>
      <c r="F37" s="1183">
        <f t="shared" si="2"/>
        <v>30000</v>
      </c>
      <c r="G37" s="1184"/>
      <c r="H37" s="1180" t="s">
        <v>1538</v>
      </c>
    </row>
    <row r="38" spans="1:8" ht="15">
      <c r="A38" s="1180">
        <v>23</v>
      </c>
      <c r="B38" s="1185" t="s">
        <v>1544</v>
      </c>
      <c r="C38" s="1182" t="s">
        <v>1504</v>
      </c>
      <c r="D38" s="1182" t="s">
        <v>1195</v>
      </c>
      <c r="E38" s="1183">
        <v>540000</v>
      </c>
      <c r="F38" s="1183">
        <f t="shared" si="2"/>
        <v>540000</v>
      </c>
      <c r="G38" s="1184"/>
      <c r="H38" s="1180" t="s">
        <v>1538</v>
      </c>
    </row>
    <row r="39" spans="1:8" ht="15">
      <c r="A39" s="1186"/>
      <c r="B39" s="1187" t="s">
        <v>1545</v>
      </c>
      <c r="C39" s="1188"/>
      <c r="D39" s="1188"/>
      <c r="E39" s="1189">
        <f>SUM(E33:E38)</f>
        <v>2410000</v>
      </c>
      <c r="F39" s="1189">
        <f>SUM(F33:F38)</f>
        <v>2410000</v>
      </c>
      <c r="G39" s="1190"/>
      <c r="H39" s="1186"/>
    </row>
    <row r="40" spans="1:8" ht="15">
      <c r="A40" s="1186"/>
      <c r="B40" s="1187" t="s">
        <v>1546</v>
      </c>
      <c r="C40" s="1188"/>
      <c r="D40" s="1188"/>
      <c r="E40" s="1189">
        <f>E16+E23+E32+E39</f>
        <v>3268865</v>
      </c>
      <c r="F40" s="1189">
        <f>F16+F23+F32+F39</f>
        <v>3268865</v>
      </c>
      <c r="G40" s="1190"/>
      <c r="H40" s="1186"/>
    </row>
    <row r="41" spans="1:8" ht="15">
      <c r="A41" s="1198"/>
      <c r="B41" s="1199"/>
      <c r="C41" s="1200"/>
      <c r="D41" s="1200"/>
      <c r="E41" s="1201"/>
      <c r="F41" s="1201"/>
      <c r="G41" s="1202"/>
      <c r="H41" s="1198"/>
    </row>
    <row r="42" spans="1:8" ht="15">
      <c r="A42" s="1198"/>
      <c r="B42" s="1203" t="s">
        <v>1504</v>
      </c>
      <c r="C42" s="1204">
        <f>SUMIF(C$13:C$38,B42,E$13:E$38)</f>
        <v>3072000</v>
      </c>
      <c r="D42" s="1205" t="s">
        <v>250</v>
      </c>
      <c r="E42" s="1201"/>
      <c r="F42" s="1201"/>
      <c r="G42" s="1202"/>
      <c r="H42" s="1198"/>
    </row>
    <row r="43" spans="2:4" ht="15">
      <c r="B43" s="1206" t="s">
        <v>1508</v>
      </c>
      <c r="C43" s="1204">
        <f>SUMIF(C$13:C$38,B43,E$13:E$38)</f>
        <v>196865</v>
      </c>
      <c r="D43" s="1205" t="s">
        <v>250</v>
      </c>
    </row>
    <row r="44" spans="2:4" ht="15">
      <c r="B44" s="1206"/>
      <c r="C44" s="1204"/>
      <c r="D44" s="1207"/>
    </row>
    <row r="45" spans="1:4" ht="15">
      <c r="A45" s="1208"/>
      <c r="B45" s="1209" t="s">
        <v>1547</v>
      </c>
      <c r="C45" s="1210"/>
      <c r="D45" s="1211" t="s">
        <v>1548</v>
      </c>
    </row>
    <row r="46" spans="1:4" ht="15">
      <c r="A46" s="1208"/>
      <c r="B46" s="1212"/>
      <c r="C46" s="1175"/>
      <c r="D46" s="1213"/>
    </row>
  </sheetData>
  <sheetProtection/>
  <mergeCells count="10">
    <mergeCell ref="E1:G1"/>
    <mergeCell ref="A7:H7"/>
    <mergeCell ref="A8:H8"/>
    <mergeCell ref="A10:A11"/>
    <mergeCell ref="B10:B11"/>
    <mergeCell ref="C10:C11"/>
    <mergeCell ref="D10:D11"/>
    <mergeCell ref="E10:E11"/>
    <mergeCell ref="F10:G10"/>
    <mergeCell ref="H10:H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75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6.375" style="0" customWidth="1"/>
    <col min="3" max="3" width="7.375" style="0" customWidth="1"/>
    <col min="4" max="4" width="12.00390625" style="0" customWidth="1"/>
    <col min="5" max="6" width="8.625" style="0" customWidth="1"/>
    <col min="8" max="8" width="10.375" style="0" bestFit="1" customWidth="1"/>
    <col min="15" max="15" width="8.75390625" style="0" customWidth="1"/>
    <col min="16" max="16" width="9.00390625" style="0" customWidth="1"/>
    <col min="17" max="17" width="9.625" style="0" bestFit="1" customWidth="1"/>
    <col min="18" max="18" width="8.125" style="0" customWidth="1"/>
    <col min="19" max="19" width="8.75390625" style="0" customWidth="1"/>
  </cols>
  <sheetData>
    <row r="1" spans="1:20" ht="18">
      <c r="A1" s="1247" t="s">
        <v>1157</v>
      </c>
      <c r="B1" s="1247"/>
      <c r="C1" s="1247"/>
      <c r="D1" s="1247"/>
      <c r="E1" s="1247"/>
      <c r="F1" s="1247"/>
      <c r="G1" s="1247"/>
      <c r="H1" s="1247"/>
      <c r="I1" s="1247"/>
      <c r="J1" s="1247"/>
      <c r="K1" s="1247"/>
      <c r="L1" s="1247"/>
      <c r="M1" s="1247"/>
      <c r="N1" s="1247"/>
      <c r="O1" s="1247"/>
      <c r="P1" s="1247"/>
      <c r="Q1" s="1247"/>
      <c r="R1" s="1247"/>
      <c r="S1" s="1247"/>
      <c r="T1" s="1247"/>
    </row>
    <row r="2" spans="1:20" ht="18">
      <c r="A2" s="1247" t="s">
        <v>634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</row>
    <row r="3" spans="1:20" ht="9.75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10.5" customHeight="1" thickBo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22.5">
      <c r="A5" s="1272" t="s">
        <v>259</v>
      </c>
      <c r="B5" s="1257" t="s">
        <v>263</v>
      </c>
      <c r="C5" s="1260" t="s">
        <v>644</v>
      </c>
      <c r="D5" s="1275" t="s">
        <v>645</v>
      </c>
      <c r="E5" s="1276"/>
      <c r="F5" s="1276"/>
      <c r="G5" s="1276"/>
      <c r="H5" s="1276"/>
      <c r="I5" s="1276"/>
      <c r="J5" s="1276"/>
      <c r="K5" s="1276"/>
      <c r="L5" s="1276"/>
      <c r="M5" s="1277"/>
      <c r="N5" s="1257" t="s">
        <v>646</v>
      </c>
      <c r="O5" s="331" t="s">
        <v>71</v>
      </c>
      <c r="P5" s="1257" t="s">
        <v>647</v>
      </c>
      <c r="Q5" s="1257" t="s">
        <v>648</v>
      </c>
      <c r="R5" s="1257" t="s">
        <v>553</v>
      </c>
      <c r="S5" s="1257" t="s">
        <v>649</v>
      </c>
      <c r="T5" s="1260" t="s">
        <v>650</v>
      </c>
    </row>
    <row r="6" spans="1:20" ht="12.75">
      <c r="A6" s="1273"/>
      <c r="B6" s="1258"/>
      <c r="C6" s="1261"/>
      <c r="D6" s="1263" t="s">
        <v>651</v>
      </c>
      <c r="E6" s="770" t="s">
        <v>1125</v>
      </c>
      <c r="F6" s="1265" t="s">
        <v>652</v>
      </c>
      <c r="G6" s="1265" t="s">
        <v>653</v>
      </c>
      <c r="H6" s="1265" t="s">
        <v>654</v>
      </c>
      <c r="I6" s="1267" t="s">
        <v>71</v>
      </c>
      <c r="J6" s="1268"/>
      <c r="K6" s="1268"/>
      <c r="L6" s="1269"/>
      <c r="M6" s="1270" t="s">
        <v>655</v>
      </c>
      <c r="N6" s="1258"/>
      <c r="O6" s="1270" t="s">
        <v>254</v>
      </c>
      <c r="P6" s="1258"/>
      <c r="Q6" s="1258"/>
      <c r="R6" s="1258"/>
      <c r="S6" s="1258"/>
      <c r="T6" s="1261"/>
    </row>
    <row r="7" spans="1:20" ht="68.25" thickBot="1">
      <c r="A7" s="1274"/>
      <c r="B7" s="1259"/>
      <c r="C7" s="1262"/>
      <c r="D7" s="1264"/>
      <c r="E7" s="776" t="s">
        <v>1126</v>
      </c>
      <c r="F7" s="1266"/>
      <c r="G7" s="1266"/>
      <c r="H7" s="1266"/>
      <c r="I7" s="777" t="s">
        <v>656</v>
      </c>
      <c r="J7" s="777" t="s">
        <v>657</v>
      </c>
      <c r="K7" s="777" t="s">
        <v>658</v>
      </c>
      <c r="L7" s="777" t="s">
        <v>659</v>
      </c>
      <c r="M7" s="1259"/>
      <c r="N7" s="1259"/>
      <c r="O7" s="1271"/>
      <c r="P7" s="1259"/>
      <c r="Q7" s="1259"/>
      <c r="R7" s="1259"/>
      <c r="S7" s="1259"/>
      <c r="T7" s="1262"/>
    </row>
    <row r="8" spans="1:22" ht="33.75">
      <c r="A8" s="332" t="s">
        <v>660</v>
      </c>
      <c r="B8" s="333" t="s">
        <v>572</v>
      </c>
      <c r="C8" s="740">
        <f>C9+C10+C11+C12</f>
        <v>1270</v>
      </c>
      <c r="D8" s="1152">
        <f>D9+D10+D11+D12</f>
        <v>32344115.959999997</v>
      </c>
      <c r="E8" s="1133">
        <f>E9+E10+E11+E12</f>
        <v>5438191</v>
      </c>
      <c r="F8" s="773">
        <f aca="true" t="shared" si="0" ref="F8:T8">F9+F10+F11+F12</f>
        <v>2040844.2800000003</v>
      </c>
      <c r="G8" s="773">
        <f t="shared" si="0"/>
        <v>4648067.92</v>
      </c>
      <c r="H8" s="773">
        <f t="shared" si="0"/>
        <v>5429049.42</v>
      </c>
      <c r="I8" s="773">
        <f t="shared" si="0"/>
        <v>384661.49</v>
      </c>
      <c r="J8" s="773">
        <f t="shared" si="0"/>
        <v>3519807.54</v>
      </c>
      <c r="K8" s="773">
        <f t="shared" si="0"/>
        <v>1378422.4400000002</v>
      </c>
      <c r="L8" s="773">
        <f t="shared" si="0"/>
        <v>146157.94999999998</v>
      </c>
      <c r="M8" s="773">
        <f t="shared" si="0"/>
        <v>44462078.58</v>
      </c>
      <c r="N8" s="773">
        <f t="shared" si="0"/>
        <v>11316339.49</v>
      </c>
      <c r="O8" s="773">
        <f t="shared" si="0"/>
        <v>3212190.64</v>
      </c>
      <c r="P8" s="774">
        <f>N8/M8*100</f>
        <v>25.451665444832205</v>
      </c>
      <c r="Q8" s="773">
        <f t="shared" si="0"/>
        <v>55778419.06999999</v>
      </c>
      <c r="R8" s="773">
        <f t="shared" si="0"/>
        <v>6375400</v>
      </c>
      <c r="S8" s="773">
        <f t="shared" si="0"/>
        <v>12430763.94</v>
      </c>
      <c r="T8" s="775">
        <f t="shared" si="0"/>
        <v>74584582.00999999</v>
      </c>
      <c r="U8" s="421"/>
      <c r="V8" s="421"/>
    </row>
    <row r="9" spans="1:22" ht="12.75">
      <c r="A9" s="334" t="s">
        <v>282</v>
      </c>
      <c r="B9" s="335"/>
      <c r="C9" s="338">
        <f aca="true" t="shared" si="1" ref="C9:O12">C16+C23+C30</f>
        <v>320</v>
      </c>
      <c r="D9" s="1153">
        <f t="shared" si="1"/>
        <v>8149748.91</v>
      </c>
      <c r="E9" s="1134">
        <f>E16+E23+E30</f>
        <v>1370258.14</v>
      </c>
      <c r="F9" s="336">
        <f t="shared" si="1"/>
        <v>514228.48</v>
      </c>
      <c r="G9" s="336">
        <f t="shared" si="1"/>
        <v>1171166.7200000002</v>
      </c>
      <c r="H9" s="336">
        <f t="shared" si="1"/>
        <v>1367961.8399999999</v>
      </c>
      <c r="I9" s="336">
        <f t="shared" si="1"/>
        <v>96934.95999999999</v>
      </c>
      <c r="J9" s="336">
        <f t="shared" si="1"/>
        <v>886880.64</v>
      </c>
      <c r="K9" s="336">
        <f t="shared" si="1"/>
        <v>347319.04000000004</v>
      </c>
      <c r="L9" s="336">
        <f t="shared" si="1"/>
        <v>36827.2</v>
      </c>
      <c r="M9" s="336">
        <f t="shared" si="1"/>
        <v>11203105.95</v>
      </c>
      <c r="N9" s="336">
        <f t="shared" si="1"/>
        <v>2851690.34</v>
      </c>
      <c r="O9" s="336">
        <f t="shared" si="1"/>
        <v>809635.91</v>
      </c>
      <c r="P9" s="337">
        <f>N9/M9*100</f>
        <v>25.454461938744764</v>
      </c>
      <c r="Q9" s="336">
        <f aca="true" t="shared" si="2" ref="Q9:T12">Q16+Q23+Q30</f>
        <v>14054796.29</v>
      </c>
      <c r="R9" s="336">
        <f t="shared" si="2"/>
        <v>1606400</v>
      </c>
      <c r="S9" s="336">
        <f t="shared" si="2"/>
        <v>3132239.34</v>
      </c>
      <c r="T9" s="338">
        <f t="shared" si="2"/>
        <v>18793435.63</v>
      </c>
      <c r="U9" s="421"/>
      <c r="V9" s="421"/>
    </row>
    <row r="10" spans="1:22" ht="12.75">
      <c r="A10" s="334" t="s">
        <v>283</v>
      </c>
      <c r="B10" s="335"/>
      <c r="C10" s="338">
        <f t="shared" si="1"/>
        <v>315</v>
      </c>
      <c r="D10" s="1154">
        <f t="shared" si="1"/>
        <v>8022309.57</v>
      </c>
      <c r="E10" s="1135">
        <f>E17+E24+E31</f>
        <v>1348837.8599999999</v>
      </c>
      <c r="F10" s="339">
        <f t="shared" si="1"/>
        <v>506193.66000000003</v>
      </c>
      <c r="G10" s="339">
        <f t="shared" si="1"/>
        <v>1152867.2400000002</v>
      </c>
      <c r="H10" s="339">
        <f t="shared" si="1"/>
        <v>1346562.87</v>
      </c>
      <c r="I10" s="339">
        <f t="shared" si="1"/>
        <v>95395.78499999999</v>
      </c>
      <c r="J10" s="339">
        <f t="shared" si="1"/>
        <v>873023.13</v>
      </c>
      <c r="K10" s="339">
        <f t="shared" si="1"/>
        <v>341892.18000000005</v>
      </c>
      <c r="L10" s="339">
        <f t="shared" si="1"/>
        <v>36251.775</v>
      </c>
      <c r="M10" s="339">
        <f t="shared" si="1"/>
        <v>11027933.34</v>
      </c>
      <c r="N10" s="339">
        <f t="shared" si="1"/>
        <v>2806479.4050000003</v>
      </c>
      <c r="O10" s="339">
        <f t="shared" si="1"/>
        <v>796459.41</v>
      </c>
      <c r="P10" s="337">
        <f>N10/M10*100</f>
        <v>25.44882453016351</v>
      </c>
      <c r="Q10" s="339">
        <f t="shared" si="2"/>
        <v>13834412.744999997</v>
      </c>
      <c r="R10" s="339">
        <f t="shared" si="2"/>
        <v>1581300</v>
      </c>
      <c r="S10" s="339">
        <f t="shared" si="2"/>
        <v>3083142.63</v>
      </c>
      <c r="T10" s="340">
        <f t="shared" si="2"/>
        <v>18498855.374999996</v>
      </c>
      <c r="U10" s="421"/>
      <c r="V10" s="421"/>
    </row>
    <row r="11" spans="1:22" ht="12.75">
      <c r="A11" s="334" t="s">
        <v>284</v>
      </c>
      <c r="B11" s="335"/>
      <c r="C11" s="338">
        <f t="shared" si="1"/>
        <v>305</v>
      </c>
      <c r="D11" s="1154">
        <f t="shared" si="1"/>
        <v>7767430.389999999</v>
      </c>
      <c r="E11" s="1135">
        <f>E18+E25+E32</f>
        <v>1305996.8</v>
      </c>
      <c r="F11" s="339">
        <f t="shared" si="1"/>
        <v>490124.02</v>
      </c>
      <c r="G11" s="339">
        <f t="shared" si="1"/>
        <v>1116268.28</v>
      </c>
      <c r="H11" s="339">
        <f t="shared" si="1"/>
        <v>1303764.93</v>
      </c>
      <c r="I11" s="339">
        <f t="shared" si="1"/>
        <v>92317.435</v>
      </c>
      <c r="J11" s="339">
        <f t="shared" si="1"/>
        <v>845308.11</v>
      </c>
      <c r="K11" s="339">
        <f t="shared" si="1"/>
        <v>331038.46</v>
      </c>
      <c r="L11" s="339">
        <f t="shared" si="1"/>
        <v>35100.924999999996</v>
      </c>
      <c r="M11" s="339">
        <f t="shared" si="1"/>
        <v>10677588.12</v>
      </c>
      <c r="N11" s="339">
        <f t="shared" si="1"/>
        <v>2716057.535</v>
      </c>
      <c r="O11" s="339">
        <f t="shared" si="1"/>
        <v>770106.41</v>
      </c>
      <c r="P11" s="337">
        <f>N11/M11*100</f>
        <v>25.43699480140652</v>
      </c>
      <c r="Q11" s="339">
        <f t="shared" si="2"/>
        <v>13393645.654999997</v>
      </c>
      <c r="R11" s="339">
        <f t="shared" si="2"/>
        <v>1531100</v>
      </c>
      <c r="S11" s="339">
        <f t="shared" si="2"/>
        <v>2984949.21</v>
      </c>
      <c r="T11" s="340">
        <f t="shared" si="2"/>
        <v>17909694.865</v>
      </c>
      <c r="U11" s="421"/>
      <c r="V11" s="421"/>
    </row>
    <row r="12" spans="1:22" ht="12.75">
      <c r="A12" s="334" t="s">
        <v>285</v>
      </c>
      <c r="B12" s="335"/>
      <c r="C12" s="338">
        <f t="shared" si="1"/>
        <v>330</v>
      </c>
      <c r="D12" s="1154">
        <f t="shared" si="1"/>
        <v>8404627.09</v>
      </c>
      <c r="E12" s="1135">
        <f>E19+E26+E33</f>
        <v>1413098.2</v>
      </c>
      <c r="F12" s="339">
        <f t="shared" si="1"/>
        <v>530298.12</v>
      </c>
      <c r="G12" s="339">
        <f t="shared" si="1"/>
        <v>1207765.6800000002</v>
      </c>
      <c r="H12" s="339">
        <f t="shared" si="1"/>
        <v>1410759.7799999998</v>
      </c>
      <c r="I12" s="339">
        <f t="shared" si="1"/>
        <v>100013.31</v>
      </c>
      <c r="J12" s="339">
        <f t="shared" si="1"/>
        <v>914595.66</v>
      </c>
      <c r="K12" s="339">
        <f t="shared" si="1"/>
        <v>358172.76</v>
      </c>
      <c r="L12" s="339">
        <f t="shared" si="1"/>
        <v>37978.049999999996</v>
      </c>
      <c r="M12" s="339">
        <f t="shared" si="1"/>
        <v>11553451.17</v>
      </c>
      <c r="N12" s="339">
        <f t="shared" si="1"/>
        <v>2942112.21</v>
      </c>
      <c r="O12" s="339">
        <f t="shared" si="1"/>
        <v>835988.91</v>
      </c>
      <c r="P12" s="337">
        <f>N12/M12*100</f>
        <v>25.465223911964653</v>
      </c>
      <c r="Q12" s="339">
        <f t="shared" si="2"/>
        <v>14495564.379999999</v>
      </c>
      <c r="R12" s="339">
        <f t="shared" si="2"/>
        <v>1656600</v>
      </c>
      <c r="S12" s="339">
        <f t="shared" si="2"/>
        <v>3230432.7600000002</v>
      </c>
      <c r="T12" s="340">
        <f t="shared" si="2"/>
        <v>19382596.139999997</v>
      </c>
      <c r="U12" s="421"/>
      <c r="V12" s="421"/>
    </row>
    <row r="13" spans="1:22" ht="12.75">
      <c r="A13" s="341" t="s">
        <v>71</v>
      </c>
      <c r="B13" s="335"/>
      <c r="C13" s="338"/>
      <c r="D13" s="1155"/>
      <c r="E13" s="1136"/>
      <c r="F13" s="342"/>
      <c r="G13" s="342"/>
      <c r="H13" s="342"/>
      <c r="I13" s="762"/>
      <c r="J13" s="762"/>
      <c r="K13" s="762"/>
      <c r="L13" s="762"/>
      <c r="M13" s="342"/>
      <c r="N13" s="342"/>
      <c r="O13" s="343"/>
      <c r="P13" s="342"/>
      <c r="Q13" s="342"/>
      <c r="R13" s="342"/>
      <c r="S13" s="342"/>
      <c r="T13" s="344"/>
      <c r="U13" s="421"/>
      <c r="V13" s="421"/>
    </row>
    <row r="14" spans="1:22" ht="12.75">
      <c r="A14" s="1254" t="s">
        <v>439</v>
      </c>
      <c r="B14" s="345" t="s">
        <v>661</v>
      </c>
      <c r="C14" s="741">
        <v>1</v>
      </c>
      <c r="D14" s="1156">
        <v>25301.916</v>
      </c>
      <c r="E14" s="1137">
        <v>4267.132</v>
      </c>
      <c r="F14" s="346">
        <v>1606.964</v>
      </c>
      <c r="G14" s="346">
        <v>3659.896</v>
      </c>
      <c r="H14" s="346">
        <f>I14+J14+K14+L14</f>
        <v>4279.794</v>
      </c>
      <c r="I14" s="761">
        <v>307.835</v>
      </c>
      <c r="J14" s="761">
        <v>2771.502</v>
      </c>
      <c r="K14" s="761">
        <v>1085.372</v>
      </c>
      <c r="L14" s="761">
        <v>115.085</v>
      </c>
      <c r="M14" s="346">
        <f>D14+F14+G14+H14</f>
        <v>34848.57</v>
      </c>
      <c r="N14" s="346">
        <v>8344.203</v>
      </c>
      <c r="O14" s="346">
        <v>2068.799</v>
      </c>
      <c r="P14" s="337">
        <f aca="true" t="shared" si="3" ref="P14:P19">N14/M14*100</f>
        <v>23.944176188578183</v>
      </c>
      <c r="Q14" s="346">
        <f>M14+N14</f>
        <v>43192.773</v>
      </c>
      <c r="R14" s="346">
        <v>5020</v>
      </c>
      <c r="S14" s="346">
        <v>9642.555</v>
      </c>
      <c r="T14" s="348">
        <f>S14+R14+Q14</f>
        <v>57855.328</v>
      </c>
      <c r="U14" s="421"/>
      <c r="V14" s="421"/>
    </row>
    <row r="15" spans="1:22" ht="12.75">
      <c r="A15" s="1254"/>
      <c r="B15" s="333" t="s">
        <v>572</v>
      </c>
      <c r="C15" s="742">
        <f>C16+C17+C18+C19</f>
        <v>120</v>
      </c>
      <c r="D15" s="1157">
        <f>D16+D17+D18+D19</f>
        <v>3036229.92</v>
      </c>
      <c r="E15" s="1138">
        <f>E16+E17+E18+E19</f>
        <v>512055.83999999997</v>
      </c>
      <c r="F15" s="349">
        <f aca="true" t="shared" si="4" ref="F15:T15">F16+F17+F18+F19</f>
        <v>192835.68</v>
      </c>
      <c r="G15" s="349">
        <f t="shared" si="4"/>
        <v>439187.52</v>
      </c>
      <c r="H15" s="349">
        <f t="shared" si="4"/>
        <v>513575.27999999997</v>
      </c>
      <c r="I15" s="349">
        <f t="shared" si="4"/>
        <v>36940.2</v>
      </c>
      <c r="J15" s="349">
        <f t="shared" si="4"/>
        <v>332580.24</v>
      </c>
      <c r="K15" s="349">
        <f t="shared" si="4"/>
        <v>130244.64000000001</v>
      </c>
      <c r="L15" s="349">
        <f t="shared" si="4"/>
        <v>13810.199999999999</v>
      </c>
      <c r="M15" s="349">
        <f t="shared" si="4"/>
        <v>4181828.4</v>
      </c>
      <c r="N15" s="349">
        <f t="shared" si="4"/>
        <v>1001304.36</v>
      </c>
      <c r="O15" s="349">
        <f t="shared" si="4"/>
        <v>248255.88</v>
      </c>
      <c r="P15" s="375">
        <f t="shared" si="3"/>
        <v>23.944176188578183</v>
      </c>
      <c r="Q15" s="349">
        <f t="shared" si="4"/>
        <v>5183132.76</v>
      </c>
      <c r="R15" s="349">
        <f t="shared" si="4"/>
        <v>602400</v>
      </c>
      <c r="S15" s="349">
        <f t="shared" si="4"/>
        <v>1157106.6</v>
      </c>
      <c r="T15" s="350">
        <f t="shared" si="4"/>
        <v>6942639.36</v>
      </c>
      <c r="U15" s="421"/>
      <c r="V15" s="421"/>
    </row>
    <row r="16" spans="1:22" ht="12.75">
      <c r="A16" s="334" t="s">
        <v>282</v>
      </c>
      <c r="B16" s="351"/>
      <c r="C16" s="743">
        <v>30</v>
      </c>
      <c r="D16" s="1158">
        <f>$C16*D$14</f>
        <v>759057.48</v>
      </c>
      <c r="E16" s="1139">
        <f>$C16*E$14</f>
        <v>128013.95999999999</v>
      </c>
      <c r="F16" s="352">
        <f>$C16*F$14</f>
        <v>48208.92</v>
      </c>
      <c r="G16" s="352">
        <f aca="true" t="shared" si="5" ref="G16:O19">$C16*G$14</f>
        <v>109796.88</v>
      </c>
      <c r="H16" s="352">
        <f t="shared" si="5"/>
        <v>128393.81999999999</v>
      </c>
      <c r="I16" s="352">
        <f t="shared" si="5"/>
        <v>9235.05</v>
      </c>
      <c r="J16" s="352">
        <f t="shared" si="5"/>
        <v>83145.06</v>
      </c>
      <c r="K16" s="352">
        <f t="shared" si="5"/>
        <v>32561.160000000003</v>
      </c>
      <c r="L16" s="352">
        <f>$C16*L$14</f>
        <v>3452.5499999999997</v>
      </c>
      <c r="M16" s="352">
        <f>D16+F16+G16+H16</f>
        <v>1045457.1</v>
      </c>
      <c r="N16" s="352">
        <f t="shared" si="5"/>
        <v>250326.09</v>
      </c>
      <c r="O16" s="352">
        <f>$C16*O$14</f>
        <v>62063.97</v>
      </c>
      <c r="P16" s="337">
        <f t="shared" si="3"/>
        <v>23.944176188578183</v>
      </c>
      <c r="Q16" s="352">
        <f>$C16*Q$14</f>
        <v>1295783.19</v>
      </c>
      <c r="R16" s="352">
        <f>$C16*R$14</f>
        <v>150600</v>
      </c>
      <c r="S16" s="352">
        <f>$C16*S$14</f>
        <v>289276.65</v>
      </c>
      <c r="T16" s="354">
        <f>$C16*T$14</f>
        <v>1735659.84</v>
      </c>
      <c r="U16" s="421"/>
      <c r="V16" s="421"/>
    </row>
    <row r="17" spans="1:22" ht="12.75">
      <c r="A17" s="334" t="s">
        <v>283</v>
      </c>
      <c r="B17" s="351"/>
      <c r="C17" s="743">
        <v>30</v>
      </c>
      <c r="D17" s="1158">
        <f aca="true" t="shared" si="6" ref="D17:F19">$C17*D$14</f>
        <v>759057.48</v>
      </c>
      <c r="E17" s="1139">
        <f t="shared" si="6"/>
        <v>128013.95999999999</v>
      </c>
      <c r="F17" s="352">
        <f t="shared" si="6"/>
        <v>48208.92</v>
      </c>
      <c r="G17" s="352">
        <f t="shared" si="5"/>
        <v>109796.88</v>
      </c>
      <c r="H17" s="352">
        <f t="shared" si="5"/>
        <v>128393.81999999999</v>
      </c>
      <c r="I17" s="352">
        <f t="shared" si="5"/>
        <v>9235.05</v>
      </c>
      <c r="J17" s="352">
        <f t="shared" si="5"/>
        <v>83145.06</v>
      </c>
      <c r="K17" s="352">
        <f t="shared" si="5"/>
        <v>32561.160000000003</v>
      </c>
      <c r="L17" s="352">
        <f t="shared" si="5"/>
        <v>3452.5499999999997</v>
      </c>
      <c r="M17" s="352">
        <f>D17+F17+G17+H17</f>
        <v>1045457.1</v>
      </c>
      <c r="N17" s="352">
        <f t="shared" si="5"/>
        <v>250326.09</v>
      </c>
      <c r="O17" s="352">
        <f t="shared" si="5"/>
        <v>62063.97</v>
      </c>
      <c r="P17" s="337">
        <f t="shared" si="3"/>
        <v>23.944176188578183</v>
      </c>
      <c r="Q17" s="352">
        <f aca="true" t="shared" si="7" ref="Q17:T19">$C17*Q$14</f>
        <v>1295783.19</v>
      </c>
      <c r="R17" s="352">
        <f t="shared" si="7"/>
        <v>150600</v>
      </c>
      <c r="S17" s="352">
        <f t="shared" si="7"/>
        <v>289276.65</v>
      </c>
      <c r="T17" s="354">
        <f t="shared" si="7"/>
        <v>1735659.84</v>
      </c>
      <c r="U17" s="421"/>
      <c r="V17" s="421"/>
    </row>
    <row r="18" spans="1:22" ht="12.75">
      <c r="A18" s="334" t="s">
        <v>284</v>
      </c>
      <c r="B18" s="351"/>
      <c r="C18" s="743">
        <v>30</v>
      </c>
      <c r="D18" s="1158">
        <f t="shared" si="6"/>
        <v>759057.48</v>
      </c>
      <c r="E18" s="1139">
        <f t="shared" si="6"/>
        <v>128013.95999999999</v>
      </c>
      <c r="F18" s="352">
        <f t="shared" si="6"/>
        <v>48208.92</v>
      </c>
      <c r="G18" s="352">
        <f t="shared" si="5"/>
        <v>109796.88</v>
      </c>
      <c r="H18" s="352">
        <f t="shared" si="5"/>
        <v>128393.81999999999</v>
      </c>
      <c r="I18" s="352">
        <f t="shared" si="5"/>
        <v>9235.05</v>
      </c>
      <c r="J18" s="352">
        <f t="shared" si="5"/>
        <v>83145.06</v>
      </c>
      <c r="K18" s="352">
        <f t="shared" si="5"/>
        <v>32561.160000000003</v>
      </c>
      <c r="L18" s="352">
        <f t="shared" si="5"/>
        <v>3452.5499999999997</v>
      </c>
      <c r="M18" s="352">
        <f>D18+F18+G18+H18</f>
        <v>1045457.1</v>
      </c>
      <c r="N18" s="352">
        <f t="shared" si="5"/>
        <v>250326.09</v>
      </c>
      <c r="O18" s="352">
        <f t="shared" si="5"/>
        <v>62063.97</v>
      </c>
      <c r="P18" s="337">
        <f t="shared" si="3"/>
        <v>23.944176188578183</v>
      </c>
      <c r="Q18" s="352">
        <f t="shared" si="7"/>
        <v>1295783.19</v>
      </c>
      <c r="R18" s="352">
        <f t="shared" si="7"/>
        <v>150600</v>
      </c>
      <c r="S18" s="352">
        <f t="shared" si="7"/>
        <v>289276.65</v>
      </c>
      <c r="T18" s="354">
        <f t="shared" si="7"/>
        <v>1735659.84</v>
      </c>
      <c r="U18" s="421"/>
      <c r="V18" s="421"/>
    </row>
    <row r="19" spans="1:22" ht="12.75">
      <c r="A19" s="334" t="s">
        <v>285</v>
      </c>
      <c r="B19" s="355"/>
      <c r="C19" s="743">
        <v>30</v>
      </c>
      <c r="D19" s="1158">
        <f t="shared" si="6"/>
        <v>759057.48</v>
      </c>
      <c r="E19" s="1139">
        <f t="shared" si="6"/>
        <v>128013.95999999999</v>
      </c>
      <c r="F19" s="352">
        <f t="shared" si="6"/>
        <v>48208.92</v>
      </c>
      <c r="G19" s="352">
        <f t="shared" si="5"/>
        <v>109796.88</v>
      </c>
      <c r="H19" s="352">
        <f t="shared" si="5"/>
        <v>128393.81999999999</v>
      </c>
      <c r="I19" s="352">
        <f t="shared" si="5"/>
        <v>9235.05</v>
      </c>
      <c r="J19" s="352">
        <f t="shared" si="5"/>
        <v>83145.06</v>
      </c>
      <c r="K19" s="352">
        <f t="shared" si="5"/>
        <v>32561.160000000003</v>
      </c>
      <c r="L19" s="352">
        <f t="shared" si="5"/>
        <v>3452.5499999999997</v>
      </c>
      <c r="M19" s="352">
        <f>D19+F19+G19+H19</f>
        <v>1045457.1</v>
      </c>
      <c r="N19" s="352">
        <f t="shared" si="5"/>
        <v>250326.09</v>
      </c>
      <c r="O19" s="352">
        <f t="shared" si="5"/>
        <v>62063.97</v>
      </c>
      <c r="P19" s="337">
        <f t="shared" si="3"/>
        <v>23.944176188578183</v>
      </c>
      <c r="Q19" s="352">
        <f t="shared" si="7"/>
        <v>1295783.19</v>
      </c>
      <c r="R19" s="352">
        <f t="shared" si="7"/>
        <v>150600</v>
      </c>
      <c r="S19" s="352">
        <f t="shared" si="7"/>
        <v>289276.65</v>
      </c>
      <c r="T19" s="354">
        <f t="shared" si="7"/>
        <v>1735659.84</v>
      </c>
      <c r="U19" s="421"/>
      <c r="V19" s="421"/>
    </row>
    <row r="20" spans="1:22" ht="12.75">
      <c r="A20" s="356"/>
      <c r="B20" s="355"/>
      <c r="C20" s="743"/>
      <c r="D20" s="1159"/>
      <c r="E20" s="739"/>
      <c r="F20" s="357"/>
      <c r="G20" s="357"/>
      <c r="H20" s="357"/>
      <c r="I20" s="352"/>
      <c r="J20" s="352"/>
      <c r="K20" s="352"/>
      <c r="L20" s="352"/>
      <c r="M20" s="357"/>
      <c r="N20" s="357"/>
      <c r="O20" s="357"/>
      <c r="P20" s="358"/>
      <c r="Q20" s="359"/>
      <c r="R20" s="357"/>
      <c r="S20" s="357"/>
      <c r="T20" s="360"/>
      <c r="U20" s="421"/>
      <c r="V20" s="421"/>
    </row>
    <row r="21" spans="1:22" ht="12.75">
      <c r="A21" s="1254" t="s">
        <v>440</v>
      </c>
      <c r="B21" s="345" t="s">
        <v>661</v>
      </c>
      <c r="C21" s="741">
        <v>1</v>
      </c>
      <c r="D21" s="1160">
        <v>25461.525</v>
      </c>
      <c r="E21" s="1140">
        <v>4279.654</v>
      </c>
      <c r="F21" s="361">
        <v>1606.964</v>
      </c>
      <c r="G21" s="361">
        <v>3659.896</v>
      </c>
      <c r="H21" s="361">
        <f>I21+J21+K21+L21</f>
        <v>4227.386</v>
      </c>
      <c r="I21" s="761">
        <v>255.427</v>
      </c>
      <c r="J21" s="761">
        <v>2771.502</v>
      </c>
      <c r="K21" s="761">
        <v>1085.372</v>
      </c>
      <c r="L21" s="761">
        <v>115.085</v>
      </c>
      <c r="M21" s="361">
        <f>D21+F21+G21+H21</f>
        <v>34955.771</v>
      </c>
      <c r="N21" s="361">
        <v>8346.521</v>
      </c>
      <c r="O21" s="361">
        <v>2079.798</v>
      </c>
      <c r="P21" s="362">
        <f aca="true" t="shared" si="8" ref="P21:P26">N21/M21*100</f>
        <v>23.87737635653924</v>
      </c>
      <c r="Q21" s="361">
        <f>M21+N21</f>
        <v>43302.292</v>
      </c>
      <c r="R21" s="361">
        <v>5020</v>
      </c>
      <c r="S21" s="361">
        <v>9664.459</v>
      </c>
      <c r="T21" s="363">
        <f>S21+R21+Q21</f>
        <v>57986.751000000004</v>
      </c>
      <c r="U21" s="421"/>
      <c r="V21" s="421"/>
    </row>
    <row r="22" spans="1:22" ht="12.75">
      <c r="A22" s="1254"/>
      <c r="B22" s="333" t="s">
        <v>572</v>
      </c>
      <c r="C22" s="742">
        <f>C23+C24+C25+C26</f>
        <v>120</v>
      </c>
      <c r="D22" s="1157">
        <f>D23+D24+D25+D26</f>
        <v>3055383</v>
      </c>
      <c r="E22" s="1138">
        <f>E23+E24+E25+E26</f>
        <v>513558.48000000004</v>
      </c>
      <c r="F22" s="349">
        <f aca="true" t="shared" si="9" ref="F22:T22">F23+F24+F25+F26</f>
        <v>192835.68</v>
      </c>
      <c r="G22" s="349">
        <f t="shared" si="9"/>
        <v>439187.52</v>
      </c>
      <c r="H22" s="349">
        <f t="shared" si="9"/>
        <v>507286.32000000007</v>
      </c>
      <c r="I22" s="349">
        <f t="shared" si="9"/>
        <v>30651.239999999998</v>
      </c>
      <c r="J22" s="349">
        <f t="shared" si="9"/>
        <v>332580.24</v>
      </c>
      <c r="K22" s="349">
        <f t="shared" si="9"/>
        <v>130244.64000000001</v>
      </c>
      <c r="L22" s="349">
        <f t="shared" si="9"/>
        <v>13810.199999999999</v>
      </c>
      <c r="M22" s="349">
        <f t="shared" si="9"/>
        <v>4194692.5200000005</v>
      </c>
      <c r="N22" s="349">
        <f t="shared" si="9"/>
        <v>1001582.52</v>
      </c>
      <c r="O22" s="349">
        <f t="shared" si="9"/>
        <v>249575.75999999998</v>
      </c>
      <c r="P22" s="375">
        <f t="shared" si="8"/>
        <v>23.877376356539237</v>
      </c>
      <c r="Q22" s="349">
        <f t="shared" si="9"/>
        <v>5196275.04</v>
      </c>
      <c r="R22" s="349">
        <f t="shared" si="9"/>
        <v>602400</v>
      </c>
      <c r="S22" s="349">
        <f t="shared" si="9"/>
        <v>1159735.08</v>
      </c>
      <c r="T22" s="350">
        <f t="shared" si="9"/>
        <v>6958410.12</v>
      </c>
      <c r="U22" s="421"/>
      <c r="V22" s="421"/>
    </row>
    <row r="23" spans="1:22" ht="12.75">
      <c r="A23" s="364" t="s">
        <v>282</v>
      </c>
      <c r="B23" s="351"/>
      <c r="C23" s="743">
        <v>30</v>
      </c>
      <c r="D23" s="1159">
        <f aca="true" t="shared" si="10" ref="D23:E26">$C23*D$21</f>
        <v>763845.75</v>
      </c>
      <c r="E23" s="1141">
        <f t="shared" si="10"/>
        <v>128389.62000000001</v>
      </c>
      <c r="F23" s="357">
        <f aca="true" t="shared" si="11" ref="F23:O26">$C23*F$21</f>
        <v>48208.92</v>
      </c>
      <c r="G23" s="357">
        <f t="shared" si="11"/>
        <v>109796.88</v>
      </c>
      <c r="H23" s="357">
        <f t="shared" si="11"/>
        <v>126821.58000000002</v>
      </c>
      <c r="I23" s="352">
        <f t="shared" si="11"/>
        <v>7662.8099999999995</v>
      </c>
      <c r="J23" s="352">
        <f t="shared" si="11"/>
        <v>83145.06</v>
      </c>
      <c r="K23" s="352">
        <f t="shared" si="11"/>
        <v>32561.160000000003</v>
      </c>
      <c r="L23" s="352">
        <f t="shared" si="11"/>
        <v>3452.5499999999997</v>
      </c>
      <c r="M23" s="357">
        <f>$C23*M$21</f>
        <v>1048673.1300000001</v>
      </c>
      <c r="N23" s="357">
        <f>$C23*N$21</f>
        <v>250395.63</v>
      </c>
      <c r="O23" s="357">
        <f t="shared" si="11"/>
        <v>62393.939999999995</v>
      </c>
      <c r="P23" s="377">
        <f t="shared" si="8"/>
        <v>23.877376356539237</v>
      </c>
      <c r="Q23" s="357">
        <f>$C23*Q$21</f>
        <v>1299068.76</v>
      </c>
      <c r="R23" s="357">
        <f>$C23*R$21</f>
        <v>150600</v>
      </c>
      <c r="S23" s="357">
        <f>$C23*S$21</f>
        <v>289933.77</v>
      </c>
      <c r="T23" s="360">
        <f>$C23*T$21</f>
        <v>1739602.53</v>
      </c>
      <c r="U23" s="421"/>
      <c r="V23" s="421"/>
    </row>
    <row r="24" spans="1:22" ht="12.75">
      <c r="A24" s="364" t="s">
        <v>283</v>
      </c>
      <c r="B24" s="351"/>
      <c r="C24" s="743">
        <v>30</v>
      </c>
      <c r="D24" s="1159">
        <f t="shared" si="10"/>
        <v>763845.75</v>
      </c>
      <c r="E24" s="1141">
        <f t="shared" si="10"/>
        <v>128389.62000000001</v>
      </c>
      <c r="F24" s="357">
        <f t="shared" si="11"/>
        <v>48208.92</v>
      </c>
      <c r="G24" s="357">
        <f t="shared" si="11"/>
        <v>109796.88</v>
      </c>
      <c r="H24" s="357">
        <f t="shared" si="11"/>
        <v>126821.58000000002</v>
      </c>
      <c r="I24" s="352">
        <f t="shared" si="11"/>
        <v>7662.8099999999995</v>
      </c>
      <c r="J24" s="352">
        <f t="shared" si="11"/>
        <v>83145.06</v>
      </c>
      <c r="K24" s="352">
        <f t="shared" si="11"/>
        <v>32561.160000000003</v>
      </c>
      <c r="L24" s="352">
        <f t="shared" si="11"/>
        <v>3452.5499999999997</v>
      </c>
      <c r="M24" s="357">
        <f t="shared" si="11"/>
        <v>1048673.1300000001</v>
      </c>
      <c r="N24" s="357">
        <f t="shared" si="11"/>
        <v>250395.63</v>
      </c>
      <c r="O24" s="357">
        <f t="shared" si="11"/>
        <v>62393.939999999995</v>
      </c>
      <c r="P24" s="377">
        <f t="shared" si="8"/>
        <v>23.877376356539237</v>
      </c>
      <c r="Q24" s="357">
        <f aca="true" t="shared" si="12" ref="Q24:T26">$C24*Q$21</f>
        <v>1299068.76</v>
      </c>
      <c r="R24" s="357">
        <f t="shared" si="12"/>
        <v>150600</v>
      </c>
      <c r="S24" s="357">
        <f t="shared" si="12"/>
        <v>289933.77</v>
      </c>
      <c r="T24" s="360">
        <f t="shared" si="12"/>
        <v>1739602.53</v>
      </c>
      <c r="U24" s="421"/>
      <c r="V24" s="421"/>
    </row>
    <row r="25" spans="1:22" ht="12.75">
      <c r="A25" s="364" t="s">
        <v>284</v>
      </c>
      <c r="B25" s="351"/>
      <c r="C25" s="743">
        <v>30</v>
      </c>
      <c r="D25" s="1159">
        <f t="shared" si="10"/>
        <v>763845.75</v>
      </c>
      <c r="E25" s="1141">
        <f t="shared" si="10"/>
        <v>128389.62000000001</v>
      </c>
      <c r="F25" s="357">
        <f t="shared" si="11"/>
        <v>48208.92</v>
      </c>
      <c r="G25" s="357">
        <f t="shared" si="11"/>
        <v>109796.88</v>
      </c>
      <c r="H25" s="357">
        <f t="shared" si="11"/>
        <v>126821.58000000002</v>
      </c>
      <c r="I25" s="352">
        <f t="shared" si="11"/>
        <v>7662.8099999999995</v>
      </c>
      <c r="J25" s="352">
        <f t="shared" si="11"/>
        <v>83145.06</v>
      </c>
      <c r="K25" s="352">
        <f t="shared" si="11"/>
        <v>32561.160000000003</v>
      </c>
      <c r="L25" s="352">
        <f t="shared" si="11"/>
        <v>3452.5499999999997</v>
      </c>
      <c r="M25" s="357">
        <f t="shared" si="11"/>
        <v>1048673.1300000001</v>
      </c>
      <c r="N25" s="357">
        <f t="shared" si="11"/>
        <v>250395.63</v>
      </c>
      <c r="O25" s="357">
        <f t="shared" si="11"/>
        <v>62393.939999999995</v>
      </c>
      <c r="P25" s="377">
        <f t="shared" si="8"/>
        <v>23.877376356539237</v>
      </c>
      <c r="Q25" s="357">
        <f t="shared" si="12"/>
        <v>1299068.76</v>
      </c>
      <c r="R25" s="357">
        <f t="shared" si="12"/>
        <v>150600</v>
      </c>
      <c r="S25" s="357">
        <f t="shared" si="12"/>
        <v>289933.77</v>
      </c>
      <c r="T25" s="360">
        <f t="shared" si="12"/>
        <v>1739602.53</v>
      </c>
      <c r="U25" s="421"/>
      <c r="V25" s="421"/>
    </row>
    <row r="26" spans="1:22" ht="12.75">
      <c r="A26" s="364" t="s">
        <v>285</v>
      </c>
      <c r="B26" s="355"/>
      <c r="C26" s="743">
        <v>30</v>
      </c>
      <c r="D26" s="1159">
        <f t="shared" si="10"/>
        <v>763845.75</v>
      </c>
      <c r="E26" s="1141">
        <f t="shared" si="10"/>
        <v>128389.62000000001</v>
      </c>
      <c r="F26" s="357">
        <f t="shared" si="11"/>
        <v>48208.92</v>
      </c>
      <c r="G26" s="357">
        <f t="shared" si="11"/>
        <v>109796.88</v>
      </c>
      <c r="H26" s="357">
        <f t="shared" si="11"/>
        <v>126821.58000000002</v>
      </c>
      <c r="I26" s="352">
        <f t="shared" si="11"/>
        <v>7662.8099999999995</v>
      </c>
      <c r="J26" s="352">
        <f t="shared" si="11"/>
        <v>83145.06</v>
      </c>
      <c r="K26" s="352">
        <f t="shared" si="11"/>
        <v>32561.160000000003</v>
      </c>
      <c r="L26" s="352">
        <f t="shared" si="11"/>
        <v>3452.5499999999997</v>
      </c>
      <c r="M26" s="357">
        <f t="shared" si="11"/>
        <v>1048673.1300000001</v>
      </c>
      <c r="N26" s="357">
        <f t="shared" si="11"/>
        <v>250395.63</v>
      </c>
      <c r="O26" s="357">
        <f t="shared" si="11"/>
        <v>62393.939999999995</v>
      </c>
      <c r="P26" s="377">
        <f t="shared" si="8"/>
        <v>23.877376356539237</v>
      </c>
      <c r="Q26" s="357">
        <f t="shared" si="12"/>
        <v>1299068.76</v>
      </c>
      <c r="R26" s="357">
        <f t="shared" si="12"/>
        <v>150600</v>
      </c>
      <c r="S26" s="357">
        <f t="shared" si="12"/>
        <v>289933.77</v>
      </c>
      <c r="T26" s="360">
        <f t="shared" si="12"/>
        <v>1739602.53</v>
      </c>
      <c r="U26" s="421"/>
      <c r="V26" s="421"/>
    </row>
    <row r="27" spans="1:22" ht="12.75">
      <c r="A27" s="356"/>
      <c r="B27" s="355"/>
      <c r="C27" s="743"/>
      <c r="D27" s="1159"/>
      <c r="E27" s="739"/>
      <c r="F27" s="357"/>
      <c r="G27" s="357"/>
      <c r="H27" s="357"/>
      <c r="I27" s="352"/>
      <c r="J27" s="352"/>
      <c r="K27" s="352"/>
      <c r="L27" s="352"/>
      <c r="M27" s="357"/>
      <c r="N27" s="357"/>
      <c r="O27" s="357"/>
      <c r="P27" s="362"/>
      <c r="Q27" s="352"/>
      <c r="R27" s="357"/>
      <c r="S27" s="357"/>
      <c r="T27" s="360"/>
      <c r="U27" s="421"/>
      <c r="V27" s="421"/>
    </row>
    <row r="28" spans="1:22" ht="12.75">
      <c r="A28" s="1254" t="s">
        <v>441</v>
      </c>
      <c r="B28" s="365" t="s">
        <v>661</v>
      </c>
      <c r="C28" s="741">
        <v>1</v>
      </c>
      <c r="D28" s="1160">
        <v>25487.868</v>
      </c>
      <c r="E28" s="1140">
        <v>4284.056</v>
      </c>
      <c r="F28" s="361">
        <v>1606.964</v>
      </c>
      <c r="G28" s="361">
        <v>3659.896</v>
      </c>
      <c r="H28" s="361">
        <f>I28+J28+K28+L28</f>
        <v>4279.794</v>
      </c>
      <c r="I28" s="347">
        <v>307.835</v>
      </c>
      <c r="J28" s="347">
        <v>2771.502</v>
      </c>
      <c r="K28" s="347">
        <v>1085.372</v>
      </c>
      <c r="L28" s="347">
        <v>115.085</v>
      </c>
      <c r="M28" s="361">
        <f>D28+F28+G28+H28</f>
        <v>35034.522</v>
      </c>
      <c r="N28" s="361">
        <v>9042.187</v>
      </c>
      <c r="O28" s="361">
        <v>2635.3</v>
      </c>
      <c r="P28" s="362">
        <f aca="true" t="shared" si="13" ref="P28:P33">N28/M28*100</f>
        <v>25.80936311904013</v>
      </c>
      <c r="Q28" s="361">
        <f>M28+N28</f>
        <v>44076.708999999995</v>
      </c>
      <c r="R28" s="361">
        <v>5020</v>
      </c>
      <c r="S28" s="361">
        <v>9819.342</v>
      </c>
      <c r="T28" s="363">
        <f>S28+R28+Q28</f>
        <v>58916.05099999999</v>
      </c>
      <c r="U28" s="421"/>
      <c r="V28" s="421"/>
    </row>
    <row r="29" spans="1:22" ht="12.75">
      <c r="A29" s="1254"/>
      <c r="B29" s="366" t="s">
        <v>572</v>
      </c>
      <c r="C29" s="744">
        <f>C30+C31+C32+C33</f>
        <v>1030</v>
      </c>
      <c r="D29" s="1161">
        <f aca="true" t="shared" si="14" ref="D29:E31">$C29*D$28</f>
        <v>26252504.04</v>
      </c>
      <c r="E29" s="1142">
        <f t="shared" si="14"/>
        <v>4412577.68</v>
      </c>
      <c r="F29" s="759">
        <f aca="true" t="shared" si="15" ref="F29:O33">$C29*F$28</f>
        <v>1655172.92</v>
      </c>
      <c r="G29" s="759">
        <f t="shared" si="15"/>
        <v>3769692.8800000004</v>
      </c>
      <c r="H29" s="759">
        <f t="shared" si="15"/>
        <v>4408187.82</v>
      </c>
      <c r="I29" s="759">
        <f t="shared" si="15"/>
        <v>317070.05</v>
      </c>
      <c r="J29" s="759">
        <f t="shared" si="15"/>
        <v>2854647.06</v>
      </c>
      <c r="K29" s="759">
        <f t="shared" si="15"/>
        <v>1117933.1600000001</v>
      </c>
      <c r="L29" s="759">
        <f t="shared" si="15"/>
        <v>118537.54999999999</v>
      </c>
      <c r="M29" s="759">
        <f>$C29*M$28</f>
        <v>36085557.66</v>
      </c>
      <c r="N29" s="759">
        <f>$C29*N$28</f>
        <v>9313452.61</v>
      </c>
      <c r="O29" s="759">
        <f t="shared" si="15"/>
        <v>2714359</v>
      </c>
      <c r="P29" s="375">
        <f t="shared" si="13"/>
        <v>25.80936311904013</v>
      </c>
      <c r="Q29" s="759">
        <f>$C29*Q$28</f>
        <v>45399010.269999996</v>
      </c>
      <c r="R29" s="759">
        <f>$C29*R$28</f>
        <v>5170600</v>
      </c>
      <c r="S29" s="759">
        <f>$C29*S$28</f>
        <v>10113922.26</v>
      </c>
      <c r="T29" s="760">
        <f>$C29*T$28</f>
        <v>60683532.529999994</v>
      </c>
      <c r="U29" s="421"/>
      <c r="V29" s="421"/>
    </row>
    <row r="30" spans="1:22" ht="12.75">
      <c r="A30" s="364" t="s">
        <v>282</v>
      </c>
      <c r="B30" s="369"/>
      <c r="C30" s="745">
        <v>260</v>
      </c>
      <c r="D30" s="1159">
        <f t="shared" si="14"/>
        <v>6626845.68</v>
      </c>
      <c r="E30" s="1141">
        <f t="shared" si="14"/>
        <v>1113854.5599999998</v>
      </c>
      <c r="F30" s="739">
        <f t="shared" si="15"/>
        <v>417810.64</v>
      </c>
      <c r="G30" s="739">
        <f t="shared" si="15"/>
        <v>951572.9600000001</v>
      </c>
      <c r="H30" s="739">
        <f t="shared" si="15"/>
        <v>1112746.44</v>
      </c>
      <c r="I30" s="739">
        <f t="shared" si="15"/>
        <v>80037.09999999999</v>
      </c>
      <c r="J30" s="739">
        <f t="shared" si="15"/>
        <v>720590.52</v>
      </c>
      <c r="K30" s="739">
        <f t="shared" si="15"/>
        <v>282196.72000000003</v>
      </c>
      <c r="L30" s="739">
        <f t="shared" si="15"/>
        <v>29922.1</v>
      </c>
      <c r="M30" s="739">
        <f t="shared" si="15"/>
        <v>9108975.719999999</v>
      </c>
      <c r="N30" s="739">
        <f t="shared" si="15"/>
        <v>2350968.62</v>
      </c>
      <c r="O30" s="739">
        <f t="shared" si="15"/>
        <v>685178</v>
      </c>
      <c r="P30" s="377">
        <f t="shared" si="13"/>
        <v>25.809363119040135</v>
      </c>
      <c r="Q30" s="739">
        <f>$C30*Q$28</f>
        <v>11459944.339999998</v>
      </c>
      <c r="R30" s="739">
        <f aca="true" t="shared" si="16" ref="Q30:T33">$C30*R$28</f>
        <v>1305200</v>
      </c>
      <c r="S30" s="739">
        <f t="shared" si="16"/>
        <v>2553028.92</v>
      </c>
      <c r="T30" s="757">
        <f t="shared" si="16"/>
        <v>15318173.259999998</v>
      </c>
      <c r="U30" s="421"/>
      <c r="V30" s="421"/>
    </row>
    <row r="31" spans="1:22" ht="12.75">
      <c r="A31" s="364" t="s">
        <v>283</v>
      </c>
      <c r="B31" s="369"/>
      <c r="C31" s="743">
        <v>255</v>
      </c>
      <c r="D31" s="1159">
        <f t="shared" si="14"/>
        <v>6499406.34</v>
      </c>
      <c r="E31" s="1141">
        <f t="shared" si="14"/>
        <v>1092434.2799999998</v>
      </c>
      <c r="F31" s="739">
        <f t="shared" si="15"/>
        <v>409775.82</v>
      </c>
      <c r="G31" s="739">
        <f t="shared" si="15"/>
        <v>933273.4800000001</v>
      </c>
      <c r="H31" s="739">
        <f t="shared" si="15"/>
        <v>1091347.47</v>
      </c>
      <c r="I31" s="739">
        <f t="shared" si="15"/>
        <v>78497.92499999999</v>
      </c>
      <c r="J31" s="739">
        <f t="shared" si="15"/>
        <v>706733.01</v>
      </c>
      <c r="K31" s="739">
        <f t="shared" si="15"/>
        <v>276769.86000000004</v>
      </c>
      <c r="L31" s="739">
        <f t="shared" si="15"/>
        <v>29346.675</v>
      </c>
      <c r="M31" s="739">
        <f t="shared" si="15"/>
        <v>8933803.11</v>
      </c>
      <c r="N31" s="739">
        <f t="shared" si="15"/>
        <v>2305757.685</v>
      </c>
      <c r="O31" s="739">
        <f t="shared" si="15"/>
        <v>672001.5</v>
      </c>
      <c r="P31" s="377">
        <f t="shared" si="13"/>
        <v>25.80936311904013</v>
      </c>
      <c r="Q31" s="739">
        <f t="shared" si="16"/>
        <v>11239560.794999998</v>
      </c>
      <c r="R31" s="739">
        <f t="shared" si="16"/>
        <v>1280100</v>
      </c>
      <c r="S31" s="739">
        <f t="shared" si="16"/>
        <v>2503932.21</v>
      </c>
      <c r="T31" s="757">
        <f t="shared" si="16"/>
        <v>15023593.004999997</v>
      </c>
      <c r="U31" s="421"/>
      <c r="V31" s="421"/>
    </row>
    <row r="32" spans="1:22" ht="12.75">
      <c r="A32" s="364" t="s">
        <v>284</v>
      </c>
      <c r="B32" s="369"/>
      <c r="C32" s="743">
        <v>245</v>
      </c>
      <c r="D32" s="1159">
        <f>$C32*D$28-0.5</f>
        <v>6244527.159999999</v>
      </c>
      <c r="E32" s="1141">
        <f>$C32*E$28-0.5</f>
        <v>1049593.22</v>
      </c>
      <c r="F32" s="739">
        <f t="shared" si="15"/>
        <v>393706.18</v>
      </c>
      <c r="G32" s="739">
        <f t="shared" si="15"/>
        <v>896674.52</v>
      </c>
      <c r="H32" s="739">
        <f t="shared" si="15"/>
        <v>1048549.5299999999</v>
      </c>
      <c r="I32" s="739">
        <f t="shared" si="15"/>
        <v>75419.575</v>
      </c>
      <c r="J32" s="739">
        <f t="shared" si="15"/>
        <v>679017.99</v>
      </c>
      <c r="K32" s="739">
        <f t="shared" si="15"/>
        <v>265916.14</v>
      </c>
      <c r="L32" s="739">
        <f t="shared" si="15"/>
        <v>28195.824999999997</v>
      </c>
      <c r="M32" s="739">
        <f>$C32*M$28</f>
        <v>8583457.889999999</v>
      </c>
      <c r="N32" s="739">
        <f t="shared" si="15"/>
        <v>2215335.815</v>
      </c>
      <c r="O32" s="739">
        <f t="shared" si="15"/>
        <v>645648.5</v>
      </c>
      <c r="P32" s="377">
        <f t="shared" si="13"/>
        <v>25.80936311904013</v>
      </c>
      <c r="Q32" s="739">
        <f t="shared" si="16"/>
        <v>10798793.704999998</v>
      </c>
      <c r="R32" s="739">
        <f t="shared" si="16"/>
        <v>1229900</v>
      </c>
      <c r="S32" s="739">
        <f t="shared" si="16"/>
        <v>2405738.79</v>
      </c>
      <c r="T32" s="757">
        <f t="shared" si="16"/>
        <v>14434432.494999997</v>
      </c>
      <c r="U32" s="421"/>
      <c r="V32" s="421"/>
    </row>
    <row r="33" spans="1:22" ht="12.75">
      <c r="A33" s="364" t="s">
        <v>285</v>
      </c>
      <c r="B33" s="370"/>
      <c r="C33" s="743">
        <v>270</v>
      </c>
      <c r="D33" s="1159">
        <f>$C33*D$28-0.5</f>
        <v>6881723.859999999</v>
      </c>
      <c r="E33" s="1141">
        <f>$C33*E$28-0.5</f>
        <v>1156694.6199999999</v>
      </c>
      <c r="F33" s="739">
        <f t="shared" si="15"/>
        <v>433880.27999999997</v>
      </c>
      <c r="G33" s="739">
        <f t="shared" si="15"/>
        <v>988171.92</v>
      </c>
      <c r="H33" s="739">
        <f t="shared" si="15"/>
        <v>1155544.38</v>
      </c>
      <c r="I33" s="739">
        <f t="shared" si="15"/>
        <v>83115.45</v>
      </c>
      <c r="J33" s="739">
        <f t="shared" si="15"/>
        <v>748305.54</v>
      </c>
      <c r="K33" s="739">
        <f t="shared" si="15"/>
        <v>293050.44</v>
      </c>
      <c r="L33" s="739">
        <f t="shared" si="15"/>
        <v>31072.949999999997</v>
      </c>
      <c r="M33" s="739">
        <f>$C33*M$28</f>
        <v>9459320.94</v>
      </c>
      <c r="N33" s="739">
        <f t="shared" si="15"/>
        <v>2441390.4899999998</v>
      </c>
      <c r="O33" s="739">
        <f t="shared" si="15"/>
        <v>711531</v>
      </c>
      <c r="P33" s="377">
        <f t="shared" si="13"/>
        <v>25.80936311904013</v>
      </c>
      <c r="Q33" s="739">
        <f>$C33*Q$28+1</f>
        <v>11900712.429999998</v>
      </c>
      <c r="R33" s="739">
        <f t="shared" si="16"/>
        <v>1355400</v>
      </c>
      <c r="S33" s="739">
        <f t="shared" si="16"/>
        <v>2651222.3400000003</v>
      </c>
      <c r="T33" s="757">
        <f t="shared" si="16"/>
        <v>15907333.769999998</v>
      </c>
      <c r="U33" s="421"/>
      <c r="V33" s="421"/>
    </row>
    <row r="34" spans="1:22" ht="12.75">
      <c r="A34" s="356"/>
      <c r="B34" s="370"/>
      <c r="C34" s="743"/>
      <c r="D34" s="1159"/>
      <c r="E34" s="739"/>
      <c r="F34" s="357"/>
      <c r="G34" s="357"/>
      <c r="H34" s="357"/>
      <c r="I34" s="353"/>
      <c r="J34" s="353"/>
      <c r="K34" s="353"/>
      <c r="L34" s="353"/>
      <c r="M34" s="357"/>
      <c r="N34" s="357"/>
      <c r="O34" s="357"/>
      <c r="P34" s="362"/>
      <c r="Q34" s="352"/>
      <c r="R34" s="357"/>
      <c r="S34" s="357"/>
      <c r="T34" s="360"/>
      <c r="U34" s="421"/>
      <c r="V34" s="421"/>
    </row>
    <row r="35" spans="1:22" ht="12.75">
      <c r="A35" s="1255" t="s">
        <v>442</v>
      </c>
      <c r="B35" s="365" t="s">
        <v>661</v>
      </c>
      <c r="C35" s="742">
        <v>1</v>
      </c>
      <c r="D35" s="1162">
        <v>35982.62</v>
      </c>
      <c r="E35" s="1143">
        <v>9047.23</v>
      </c>
      <c r="F35" s="371">
        <v>6562.64</v>
      </c>
      <c r="G35" s="371">
        <v>1184.02</v>
      </c>
      <c r="H35" s="371">
        <f>I35+J35+K35+L35</f>
        <v>636.8700000000001</v>
      </c>
      <c r="I35" s="372">
        <v>49.2</v>
      </c>
      <c r="J35" s="372">
        <v>551.19</v>
      </c>
      <c r="K35" s="372">
        <v>7.88</v>
      </c>
      <c r="L35" s="372">
        <v>28.6</v>
      </c>
      <c r="M35" s="371">
        <f>D35+F35+G35+H35</f>
        <v>44366.15</v>
      </c>
      <c r="N35" s="371">
        <v>3117.18</v>
      </c>
      <c r="O35" s="333">
        <v>316.84</v>
      </c>
      <c r="P35" s="362">
        <f aca="true" t="shared" si="17" ref="P35:P40">N35/M35*100</f>
        <v>7.02603223403428</v>
      </c>
      <c r="Q35" s="371">
        <f>M35+N35</f>
        <v>47483.33</v>
      </c>
      <c r="R35" s="333"/>
      <c r="S35" s="371">
        <v>9496.67</v>
      </c>
      <c r="T35" s="373">
        <f>S35+R35+Q35</f>
        <v>56980</v>
      </c>
      <c r="U35" s="421"/>
      <c r="V35" s="421"/>
    </row>
    <row r="36" spans="1:22" ht="12.75">
      <c r="A36" s="1256"/>
      <c r="B36" s="366" t="s">
        <v>572</v>
      </c>
      <c r="C36" s="391">
        <f>C37+C38+C39+C40</f>
        <v>50</v>
      </c>
      <c r="D36" s="1163">
        <f>D37+D38+D39+D40</f>
        <v>1799131</v>
      </c>
      <c r="E36" s="1144">
        <f>E37+E38+E39+E40</f>
        <v>452361.5</v>
      </c>
      <c r="F36" s="367">
        <f aca="true" t="shared" si="18" ref="F36:T36">F37+F38+F39+F40</f>
        <v>328132</v>
      </c>
      <c r="G36" s="367">
        <f t="shared" si="18"/>
        <v>59201</v>
      </c>
      <c r="H36" s="367">
        <f t="shared" si="18"/>
        <v>31843.500000000007</v>
      </c>
      <c r="I36" s="367">
        <f t="shared" si="18"/>
        <v>2460</v>
      </c>
      <c r="J36" s="367">
        <f t="shared" si="18"/>
        <v>27559.5</v>
      </c>
      <c r="K36" s="367">
        <f t="shared" si="18"/>
        <v>394</v>
      </c>
      <c r="L36" s="367">
        <f t="shared" si="18"/>
        <v>1430</v>
      </c>
      <c r="M36" s="367">
        <f t="shared" si="18"/>
        <v>2218307.5</v>
      </c>
      <c r="N36" s="367">
        <f t="shared" si="18"/>
        <v>155858.99999999997</v>
      </c>
      <c r="O36" s="367">
        <f t="shared" si="18"/>
        <v>15842</v>
      </c>
      <c r="P36" s="375">
        <f t="shared" si="17"/>
        <v>7.02603223403428</v>
      </c>
      <c r="Q36" s="367">
        <f t="shared" si="18"/>
        <v>2374166.5</v>
      </c>
      <c r="R36" s="367"/>
      <c r="S36" s="367">
        <f t="shared" si="18"/>
        <v>474833.5</v>
      </c>
      <c r="T36" s="368">
        <f t="shared" si="18"/>
        <v>2849000</v>
      </c>
      <c r="U36" s="421"/>
      <c r="V36" s="421"/>
    </row>
    <row r="37" spans="1:22" ht="12.75">
      <c r="A37" s="334" t="s">
        <v>282</v>
      </c>
      <c r="B37" s="351"/>
      <c r="C37" s="743">
        <v>10.2</v>
      </c>
      <c r="D37" s="1164">
        <f aca="true" t="shared" si="19" ref="D37:O40">$C37*D$35</f>
        <v>367022.724</v>
      </c>
      <c r="E37" s="1145">
        <f>$C37*E$35</f>
        <v>92281.74599999998</v>
      </c>
      <c r="F37" s="376">
        <f t="shared" si="19"/>
        <v>66938.928</v>
      </c>
      <c r="G37" s="376">
        <f t="shared" si="19"/>
        <v>12077.003999999999</v>
      </c>
      <c r="H37" s="376">
        <f t="shared" si="19"/>
        <v>6496.0740000000005</v>
      </c>
      <c r="I37" s="763">
        <f t="shared" si="19"/>
        <v>501.84</v>
      </c>
      <c r="J37" s="763">
        <f t="shared" si="19"/>
        <v>5622.138</v>
      </c>
      <c r="K37" s="763">
        <f t="shared" si="19"/>
        <v>80.37599999999999</v>
      </c>
      <c r="L37" s="763">
        <f t="shared" si="19"/>
        <v>291.71999999999997</v>
      </c>
      <c r="M37" s="376">
        <f t="shared" si="19"/>
        <v>452534.73</v>
      </c>
      <c r="N37" s="376">
        <f t="shared" si="19"/>
        <v>31795.235999999997</v>
      </c>
      <c r="O37" s="376">
        <f t="shared" si="19"/>
        <v>3231.7679999999996</v>
      </c>
      <c r="P37" s="377">
        <f t="shared" si="17"/>
        <v>7.026032234034281</v>
      </c>
      <c r="Q37" s="376">
        <f>$C37*Q$35</f>
        <v>484329.96599999996</v>
      </c>
      <c r="R37" s="376"/>
      <c r="S37" s="376">
        <f>$C37*S$35</f>
        <v>96866.034</v>
      </c>
      <c r="T37" s="378">
        <f>$C37*T$35</f>
        <v>581196</v>
      </c>
      <c r="U37" s="421"/>
      <c r="V37" s="421"/>
    </row>
    <row r="38" spans="1:22" ht="12.75">
      <c r="A38" s="334" t="s">
        <v>283</v>
      </c>
      <c r="B38" s="351"/>
      <c r="C38" s="746">
        <v>10.2</v>
      </c>
      <c r="D38" s="1164">
        <f t="shared" si="19"/>
        <v>367022.724</v>
      </c>
      <c r="E38" s="1145">
        <f t="shared" si="19"/>
        <v>92281.74599999998</v>
      </c>
      <c r="F38" s="376">
        <f t="shared" si="19"/>
        <v>66938.928</v>
      </c>
      <c r="G38" s="376">
        <f t="shared" si="19"/>
        <v>12077.003999999999</v>
      </c>
      <c r="H38" s="376">
        <f t="shared" si="19"/>
        <v>6496.0740000000005</v>
      </c>
      <c r="I38" s="763">
        <f t="shared" si="19"/>
        <v>501.84</v>
      </c>
      <c r="J38" s="763">
        <f t="shared" si="19"/>
        <v>5622.138</v>
      </c>
      <c r="K38" s="763">
        <f t="shared" si="19"/>
        <v>80.37599999999999</v>
      </c>
      <c r="L38" s="763">
        <f t="shared" si="19"/>
        <v>291.71999999999997</v>
      </c>
      <c r="M38" s="376">
        <f t="shared" si="19"/>
        <v>452534.73</v>
      </c>
      <c r="N38" s="376">
        <f t="shared" si="19"/>
        <v>31795.235999999997</v>
      </c>
      <c r="O38" s="376">
        <f t="shared" si="19"/>
        <v>3231.7679999999996</v>
      </c>
      <c r="P38" s="377">
        <f t="shared" si="17"/>
        <v>7.026032234034281</v>
      </c>
      <c r="Q38" s="376">
        <f>$C38*Q$35</f>
        <v>484329.96599999996</v>
      </c>
      <c r="R38" s="376"/>
      <c r="S38" s="376">
        <f aca="true" t="shared" si="20" ref="S38:T40">$C38*S$35</f>
        <v>96866.034</v>
      </c>
      <c r="T38" s="378">
        <f t="shared" si="20"/>
        <v>581196</v>
      </c>
      <c r="U38" s="421"/>
      <c r="V38" s="421"/>
    </row>
    <row r="39" spans="1:22" ht="12.75">
      <c r="A39" s="334" t="s">
        <v>284</v>
      </c>
      <c r="B39" s="351"/>
      <c r="C39" s="743">
        <v>11.1</v>
      </c>
      <c r="D39" s="1164">
        <f t="shared" si="19"/>
        <v>399407.082</v>
      </c>
      <c r="E39" s="1145">
        <f t="shared" si="19"/>
        <v>100424.253</v>
      </c>
      <c r="F39" s="376">
        <f t="shared" si="19"/>
        <v>72845.304</v>
      </c>
      <c r="G39" s="376">
        <f t="shared" si="19"/>
        <v>13142.622</v>
      </c>
      <c r="H39" s="376">
        <f t="shared" si="19"/>
        <v>7069.257000000001</v>
      </c>
      <c r="I39" s="763">
        <f t="shared" si="19"/>
        <v>546.12</v>
      </c>
      <c r="J39" s="763">
        <f t="shared" si="19"/>
        <v>6118.209000000001</v>
      </c>
      <c r="K39" s="763">
        <f t="shared" si="19"/>
        <v>87.46799999999999</v>
      </c>
      <c r="L39" s="763">
        <f t="shared" si="19"/>
        <v>317.46</v>
      </c>
      <c r="M39" s="376">
        <f t="shared" si="19"/>
        <v>492464.265</v>
      </c>
      <c r="N39" s="376">
        <f t="shared" si="19"/>
        <v>34600.698</v>
      </c>
      <c r="O39" s="376">
        <f t="shared" si="19"/>
        <v>3516.9239999999995</v>
      </c>
      <c r="P39" s="377">
        <f t="shared" si="17"/>
        <v>7.02603223403428</v>
      </c>
      <c r="Q39" s="376">
        <f>$C39*Q$35</f>
        <v>527064.963</v>
      </c>
      <c r="R39" s="376"/>
      <c r="S39" s="376">
        <f t="shared" si="20"/>
        <v>105413.037</v>
      </c>
      <c r="T39" s="378">
        <f t="shared" si="20"/>
        <v>632478</v>
      </c>
      <c r="U39" s="421"/>
      <c r="V39" s="421"/>
    </row>
    <row r="40" spans="1:22" ht="12.75">
      <c r="A40" s="334" t="s">
        <v>285</v>
      </c>
      <c r="B40" s="355"/>
      <c r="C40" s="743">
        <v>18.5</v>
      </c>
      <c r="D40" s="1164">
        <f t="shared" si="19"/>
        <v>665678.4700000001</v>
      </c>
      <c r="E40" s="1145">
        <f t="shared" si="19"/>
        <v>167373.755</v>
      </c>
      <c r="F40" s="376">
        <f t="shared" si="19"/>
        <v>121408.84000000001</v>
      </c>
      <c r="G40" s="376">
        <f t="shared" si="19"/>
        <v>21904.37</v>
      </c>
      <c r="H40" s="376">
        <f t="shared" si="19"/>
        <v>11782.095000000003</v>
      </c>
      <c r="I40" s="763">
        <f t="shared" si="19"/>
        <v>910.2</v>
      </c>
      <c r="J40" s="763">
        <f t="shared" si="19"/>
        <v>10197.015000000001</v>
      </c>
      <c r="K40" s="763">
        <f t="shared" si="19"/>
        <v>145.78</v>
      </c>
      <c r="L40" s="763">
        <f t="shared" si="19"/>
        <v>529.1</v>
      </c>
      <c r="M40" s="376">
        <f t="shared" si="19"/>
        <v>820773.775</v>
      </c>
      <c r="N40" s="376">
        <f t="shared" si="19"/>
        <v>57667.829999999994</v>
      </c>
      <c r="O40" s="376">
        <f t="shared" si="19"/>
        <v>5861.54</v>
      </c>
      <c r="P40" s="377">
        <f t="shared" si="17"/>
        <v>7.02603223403428</v>
      </c>
      <c r="Q40" s="376">
        <f>$C40*Q$35</f>
        <v>878441.605</v>
      </c>
      <c r="R40" s="376"/>
      <c r="S40" s="376">
        <f t="shared" si="20"/>
        <v>175688.395</v>
      </c>
      <c r="T40" s="378">
        <f t="shared" si="20"/>
        <v>1054130</v>
      </c>
      <c r="U40" s="421"/>
      <c r="V40" s="421"/>
    </row>
    <row r="41" spans="1:22" ht="12.75">
      <c r="A41" s="379"/>
      <c r="B41" s="355"/>
      <c r="C41" s="743"/>
      <c r="D41" s="794"/>
      <c r="E41" s="1146"/>
      <c r="F41" s="355"/>
      <c r="G41" s="355"/>
      <c r="H41" s="376"/>
      <c r="I41" s="769"/>
      <c r="J41" s="769"/>
      <c r="K41" s="769"/>
      <c r="L41" s="769"/>
      <c r="M41" s="380"/>
      <c r="N41" s="355"/>
      <c r="O41" s="355"/>
      <c r="P41" s="358"/>
      <c r="Q41" s="380"/>
      <c r="R41" s="351"/>
      <c r="S41" s="355"/>
      <c r="T41" s="381"/>
      <c r="U41" s="421"/>
      <c r="V41" s="421"/>
    </row>
    <row r="42" spans="1:22" ht="12.75">
      <c r="A42" s="1252" t="s">
        <v>662</v>
      </c>
      <c r="B42" s="333" t="s">
        <v>663</v>
      </c>
      <c r="C42" s="742">
        <v>1</v>
      </c>
      <c r="D42" s="1162">
        <v>31589.19</v>
      </c>
      <c r="E42" s="1143">
        <v>31549.6</v>
      </c>
      <c r="F42" s="371">
        <v>5048.51</v>
      </c>
      <c r="G42" s="371">
        <v>105.8</v>
      </c>
      <c r="H42" s="371">
        <f>I42+J42+K42+L42</f>
        <v>1579.23</v>
      </c>
      <c r="I42" s="764">
        <v>236.6</v>
      </c>
      <c r="J42" s="764">
        <v>537.5</v>
      </c>
      <c r="K42" s="764">
        <v>480.73</v>
      </c>
      <c r="L42" s="764">
        <v>324.4</v>
      </c>
      <c r="M42" s="371">
        <f>D42+F42+G42+H42-0.01</f>
        <v>38322.72</v>
      </c>
      <c r="N42" s="333">
        <v>1302.28</v>
      </c>
      <c r="O42" s="333">
        <v>66.98</v>
      </c>
      <c r="P42" s="362">
        <f aca="true" t="shared" si="21" ref="P42:P47">N42/M42*100</f>
        <v>3.3981930301398227</v>
      </c>
      <c r="Q42" s="371">
        <f>N42+M42</f>
        <v>39625</v>
      </c>
      <c r="R42" s="333"/>
      <c r="S42" s="371">
        <f>Q42*0.2</f>
        <v>7925</v>
      </c>
      <c r="T42" s="373">
        <f>S42+R42+Q42</f>
        <v>47550</v>
      </c>
      <c r="U42" s="421"/>
      <c r="V42" s="421"/>
    </row>
    <row r="43" spans="1:22" ht="12.75">
      <c r="A43" s="1256"/>
      <c r="B43" s="333" t="s">
        <v>573</v>
      </c>
      <c r="C43" s="747">
        <f>C44+C45+C46+C47</f>
        <v>6</v>
      </c>
      <c r="D43" s="1163">
        <f>D44+D45+D46+D47</f>
        <v>189535.13999999998</v>
      </c>
      <c r="E43" s="1144">
        <f>E44+E45+E46+E47</f>
        <v>189297.59999999998</v>
      </c>
      <c r="F43" s="367">
        <f aca="true" t="shared" si="22" ref="F43:L43">F44+F45+F46+F47</f>
        <v>30291.06</v>
      </c>
      <c r="G43" s="367">
        <f t="shared" si="22"/>
        <v>634.8</v>
      </c>
      <c r="H43" s="367">
        <f t="shared" si="22"/>
        <v>9475.380000000001</v>
      </c>
      <c r="I43" s="367">
        <f t="shared" si="22"/>
        <v>1419.6</v>
      </c>
      <c r="J43" s="367">
        <f t="shared" si="22"/>
        <v>3225</v>
      </c>
      <c r="K43" s="367">
        <f t="shared" si="22"/>
        <v>2884.38</v>
      </c>
      <c r="L43" s="367">
        <f t="shared" si="22"/>
        <v>1946.3999999999999</v>
      </c>
      <c r="M43" s="367">
        <f>M44+M45+M46+M47</f>
        <v>229936.32</v>
      </c>
      <c r="N43" s="367">
        <f>N44+N45+N46+N47</f>
        <v>7813.68</v>
      </c>
      <c r="O43" s="367">
        <f>O44+O45+O46+O47</f>
        <v>401.88</v>
      </c>
      <c r="P43" s="382">
        <f t="shared" si="21"/>
        <v>3.398193030139823</v>
      </c>
      <c r="Q43" s="367">
        <f>M43+N43</f>
        <v>237750</v>
      </c>
      <c r="R43" s="367"/>
      <c r="S43" s="367">
        <f>S44+S45+S46+S47</f>
        <v>47550</v>
      </c>
      <c r="T43" s="383">
        <f>Q43+S43</f>
        <v>285300</v>
      </c>
      <c r="U43" s="421"/>
      <c r="V43" s="421"/>
    </row>
    <row r="44" spans="1:22" ht="12.75">
      <c r="A44" s="334" t="s">
        <v>282</v>
      </c>
      <c r="B44" s="351"/>
      <c r="C44" s="743">
        <v>1.5</v>
      </c>
      <c r="D44" s="1159">
        <f>$C44*D$42</f>
        <v>47383.784999999996</v>
      </c>
      <c r="E44" s="1141">
        <f>$C44*E$42</f>
        <v>47324.399999999994</v>
      </c>
      <c r="F44" s="357">
        <f aca="true" t="shared" si="23" ref="F44:T44">$C44*F$42</f>
        <v>7572.765</v>
      </c>
      <c r="G44" s="357">
        <f t="shared" si="23"/>
        <v>158.7</v>
      </c>
      <c r="H44" s="357">
        <f t="shared" si="23"/>
        <v>2368.8450000000003</v>
      </c>
      <c r="I44" s="352">
        <f t="shared" si="23"/>
        <v>354.9</v>
      </c>
      <c r="J44" s="352">
        <f t="shared" si="23"/>
        <v>806.25</v>
      </c>
      <c r="K44" s="352">
        <f t="shared" si="23"/>
        <v>721.095</v>
      </c>
      <c r="L44" s="352">
        <f>$C44*L$42</f>
        <v>486.59999999999997</v>
      </c>
      <c r="M44" s="357">
        <f t="shared" si="23"/>
        <v>57484.08</v>
      </c>
      <c r="N44" s="357">
        <f t="shared" si="23"/>
        <v>1953.42</v>
      </c>
      <c r="O44" s="357">
        <f t="shared" si="23"/>
        <v>100.47</v>
      </c>
      <c r="P44" s="377">
        <f t="shared" si="21"/>
        <v>3.398193030139823</v>
      </c>
      <c r="Q44" s="357">
        <f t="shared" si="23"/>
        <v>59437.5</v>
      </c>
      <c r="R44" s="357"/>
      <c r="S44" s="357">
        <f t="shared" si="23"/>
        <v>11887.5</v>
      </c>
      <c r="T44" s="360">
        <f t="shared" si="23"/>
        <v>71325</v>
      </c>
      <c r="U44" s="421"/>
      <c r="V44" s="421"/>
    </row>
    <row r="45" spans="1:22" ht="12.75">
      <c r="A45" s="334" t="s">
        <v>283</v>
      </c>
      <c r="B45" s="351"/>
      <c r="C45" s="743">
        <v>1.5</v>
      </c>
      <c r="D45" s="1159">
        <f aca="true" t="shared" si="24" ref="D45:T47">$C45*D$42</f>
        <v>47383.784999999996</v>
      </c>
      <c r="E45" s="1141">
        <f t="shared" si="24"/>
        <v>47324.399999999994</v>
      </c>
      <c r="F45" s="357">
        <f t="shared" si="24"/>
        <v>7572.765</v>
      </c>
      <c r="G45" s="357">
        <f t="shared" si="24"/>
        <v>158.7</v>
      </c>
      <c r="H45" s="357">
        <f t="shared" si="24"/>
        <v>2368.8450000000003</v>
      </c>
      <c r="I45" s="352">
        <f t="shared" si="24"/>
        <v>354.9</v>
      </c>
      <c r="J45" s="352">
        <f t="shared" si="24"/>
        <v>806.25</v>
      </c>
      <c r="K45" s="352">
        <f t="shared" si="24"/>
        <v>721.095</v>
      </c>
      <c r="L45" s="352">
        <f t="shared" si="24"/>
        <v>486.59999999999997</v>
      </c>
      <c r="M45" s="357">
        <f t="shared" si="24"/>
        <v>57484.08</v>
      </c>
      <c r="N45" s="357">
        <f t="shared" si="24"/>
        <v>1953.42</v>
      </c>
      <c r="O45" s="357">
        <f t="shared" si="24"/>
        <v>100.47</v>
      </c>
      <c r="P45" s="377">
        <f t="shared" si="21"/>
        <v>3.398193030139823</v>
      </c>
      <c r="Q45" s="357">
        <f t="shared" si="24"/>
        <v>59437.5</v>
      </c>
      <c r="R45" s="357"/>
      <c r="S45" s="357">
        <f t="shared" si="24"/>
        <v>11887.5</v>
      </c>
      <c r="T45" s="360">
        <f t="shared" si="24"/>
        <v>71325</v>
      </c>
      <c r="U45" s="421"/>
      <c r="V45" s="421"/>
    </row>
    <row r="46" spans="1:22" ht="12.75">
      <c r="A46" s="334" t="s">
        <v>284</v>
      </c>
      <c r="B46" s="351"/>
      <c r="C46" s="743">
        <v>1.5</v>
      </c>
      <c r="D46" s="1159">
        <f t="shared" si="24"/>
        <v>47383.784999999996</v>
      </c>
      <c r="E46" s="1141">
        <f t="shared" si="24"/>
        <v>47324.399999999994</v>
      </c>
      <c r="F46" s="357">
        <f t="shared" si="24"/>
        <v>7572.765</v>
      </c>
      <c r="G46" s="357">
        <f t="shared" si="24"/>
        <v>158.7</v>
      </c>
      <c r="H46" s="357">
        <f t="shared" si="24"/>
        <v>2368.8450000000003</v>
      </c>
      <c r="I46" s="352">
        <f t="shared" si="24"/>
        <v>354.9</v>
      </c>
      <c r="J46" s="352">
        <f t="shared" si="24"/>
        <v>806.25</v>
      </c>
      <c r="K46" s="352">
        <f t="shared" si="24"/>
        <v>721.095</v>
      </c>
      <c r="L46" s="352">
        <f t="shared" si="24"/>
        <v>486.59999999999997</v>
      </c>
      <c r="M46" s="357">
        <f t="shared" si="24"/>
        <v>57484.08</v>
      </c>
      <c r="N46" s="357">
        <f t="shared" si="24"/>
        <v>1953.42</v>
      </c>
      <c r="O46" s="357">
        <f t="shared" si="24"/>
        <v>100.47</v>
      </c>
      <c r="P46" s="377">
        <f t="shared" si="21"/>
        <v>3.398193030139823</v>
      </c>
      <c r="Q46" s="357">
        <f t="shared" si="24"/>
        <v>59437.5</v>
      </c>
      <c r="R46" s="357"/>
      <c r="S46" s="357">
        <f t="shared" si="24"/>
        <v>11887.5</v>
      </c>
      <c r="T46" s="360">
        <f t="shared" si="24"/>
        <v>71325</v>
      </c>
      <c r="U46" s="421"/>
      <c r="V46" s="421"/>
    </row>
    <row r="47" spans="1:22" ht="12.75">
      <c r="A47" s="334" t="s">
        <v>285</v>
      </c>
      <c r="B47" s="355"/>
      <c r="C47" s="743">
        <v>1.5</v>
      </c>
      <c r="D47" s="1159">
        <f t="shared" si="24"/>
        <v>47383.784999999996</v>
      </c>
      <c r="E47" s="1141">
        <f t="shared" si="24"/>
        <v>47324.399999999994</v>
      </c>
      <c r="F47" s="357">
        <f t="shared" si="24"/>
        <v>7572.765</v>
      </c>
      <c r="G47" s="357">
        <f t="shared" si="24"/>
        <v>158.7</v>
      </c>
      <c r="H47" s="357">
        <f t="shared" si="24"/>
        <v>2368.8450000000003</v>
      </c>
      <c r="I47" s="352">
        <f t="shared" si="24"/>
        <v>354.9</v>
      </c>
      <c r="J47" s="352">
        <f t="shared" si="24"/>
        <v>806.25</v>
      </c>
      <c r="K47" s="352">
        <f t="shared" si="24"/>
        <v>721.095</v>
      </c>
      <c r="L47" s="352">
        <f t="shared" si="24"/>
        <v>486.59999999999997</v>
      </c>
      <c r="M47" s="357">
        <f t="shared" si="24"/>
        <v>57484.08</v>
      </c>
      <c r="N47" s="357">
        <f t="shared" si="24"/>
        <v>1953.42</v>
      </c>
      <c r="O47" s="357">
        <f t="shared" si="24"/>
        <v>100.47</v>
      </c>
      <c r="P47" s="377">
        <f t="shared" si="21"/>
        <v>3.398193030139823</v>
      </c>
      <c r="Q47" s="357">
        <f t="shared" si="24"/>
        <v>59437.5</v>
      </c>
      <c r="R47" s="357"/>
      <c r="S47" s="357">
        <f t="shared" si="24"/>
        <v>11887.5</v>
      </c>
      <c r="T47" s="360">
        <f t="shared" si="24"/>
        <v>71325</v>
      </c>
      <c r="U47" s="421"/>
      <c r="V47" s="421"/>
    </row>
    <row r="48" spans="1:22" ht="12.75">
      <c r="A48" s="379"/>
      <c r="B48" s="355"/>
      <c r="C48" s="743"/>
      <c r="D48" s="1165"/>
      <c r="E48" s="1147"/>
      <c r="F48" s="384"/>
      <c r="G48" s="384"/>
      <c r="H48" s="384"/>
      <c r="I48" s="366"/>
      <c r="J48" s="386"/>
      <c r="K48" s="386"/>
      <c r="L48" s="386"/>
      <c r="M48" s="384"/>
      <c r="N48" s="351"/>
      <c r="O48" s="351"/>
      <c r="P48" s="358"/>
      <c r="Q48" s="385"/>
      <c r="R48" s="386"/>
      <c r="S48" s="355"/>
      <c r="T48" s="381"/>
      <c r="U48" s="421"/>
      <c r="V48" s="421"/>
    </row>
    <row r="49" spans="1:22" ht="12.75">
      <c r="A49" s="1255" t="s">
        <v>664</v>
      </c>
      <c r="B49" s="333" t="s">
        <v>100</v>
      </c>
      <c r="C49" s="742">
        <v>1</v>
      </c>
      <c r="D49" s="1162">
        <v>27402</v>
      </c>
      <c r="E49" s="1143"/>
      <c r="F49" s="371">
        <v>3066</v>
      </c>
      <c r="G49" s="371">
        <v>1115</v>
      </c>
      <c r="H49" s="371">
        <f>I49+J49+K49+L49</f>
        <v>3417</v>
      </c>
      <c r="I49" s="369">
        <v>379</v>
      </c>
      <c r="J49" s="369">
        <v>390</v>
      </c>
      <c r="K49" s="369">
        <v>1533</v>
      </c>
      <c r="L49" s="369">
        <v>1115</v>
      </c>
      <c r="M49" s="371">
        <f>D49+F49+G49+H49</f>
        <v>35000</v>
      </c>
      <c r="N49" s="371">
        <v>1225</v>
      </c>
      <c r="O49" s="333">
        <v>1225</v>
      </c>
      <c r="P49" s="362">
        <f aca="true" t="shared" si="25" ref="P49:P54">N49/M49*100</f>
        <v>3.5000000000000004</v>
      </c>
      <c r="Q49" s="387">
        <f>M49+N49</f>
        <v>36225</v>
      </c>
      <c r="R49" s="366"/>
      <c r="S49" s="371">
        <f>Q49*0.2</f>
        <v>7245</v>
      </c>
      <c r="T49" s="373">
        <f>S49+R49+Q49</f>
        <v>43470</v>
      </c>
      <c r="U49" s="421"/>
      <c r="V49" s="421"/>
    </row>
    <row r="50" spans="1:22" ht="12.75">
      <c r="A50" s="1256"/>
      <c r="B50" s="333" t="s">
        <v>577</v>
      </c>
      <c r="C50" s="747">
        <f>C51+C52+C53+C54</f>
        <v>0.7</v>
      </c>
      <c r="D50" s="1163">
        <f aca="true" t="shared" si="26" ref="D50:L50">D51+D52+D53+D54</f>
        <v>19181.4</v>
      </c>
      <c r="E50" s="1144">
        <f>E51+E52+E53+E54</f>
        <v>0</v>
      </c>
      <c r="F50" s="367">
        <f t="shared" si="26"/>
        <v>2146.2</v>
      </c>
      <c r="G50" s="367">
        <f t="shared" si="26"/>
        <v>780.5</v>
      </c>
      <c r="H50" s="367">
        <f t="shared" si="26"/>
        <v>2391.9000000000005</v>
      </c>
      <c r="I50" s="388">
        <f t="shared" si="26"/>
        <v>265.3</v>
      </c>
      <c r="J50" s="388">
        <f t="shared" si="26"/>
        <v>273</v>
      </c>
      <c r="K50" s="388">
        <f t="shared" si="26"/>
        <v>1073.1</v>
      </c>
      <c r="L50" s="388">
        <f t="shared" si="26"/>
        <v>780.5</v>
      </c>
      <c r="M50" s="367">
        <f>M51+M52+M53+M54</f>
        <v>24500</v>
      </c>
      <c r="N50" s="367">
        <f>N51+N52+N53+N54</f>
        <v>857.5</v>
      </c>
      <c r="O50" s="367">
        <f>N50</f>
        <v>857.5</v>
      </c>
      <c r="P50" s="375">
        <f t="shared" si="25"/>
        <v>3.5000000000000004</v>
      </c>
      <c r="Q50" s="367">
        <f>Q51+Q52+Q53+Q54</f>
        <v>25357.5</v>
      </c>
      <c r="R50" s="389"/>
      <c r="S50" s="367">
        <f>S51+S52+S53+S54</f>
        <v>5071.5</v>
      </c>
      <c r="T50" s="383">
        <f>Q50+S50</f>
        <v>30429</v>
      </c>
      <c r="U50" s="421"/>
      <c r="V50" s="421"/>
    </row>
    <row r="51" spans="1:22" ht="12.75">
      <c r="A51" s="334" t="s">
        <v>282</v>
      </c>
      <c r="B51" s="351"/>
      <c r="C51" s="748">
        <v>0.14</v>
      </c>
      <c r="D51" s="1159">
        <f>$C51*D$49</f>
        <v>3836.28</v>
      </c>
      <c r="E51" s="1141">
        <f>$C51*E$49</f>
        <v>0</v>
      </c>
      <c r="F51" s="357">
        <f aca="true" t="shared" si="27" ref="F51:T51">$C51*F$49</f>
        <v>429.24000000000007</v>
      </c>
      <c r="G51" s="357">
        <f t="shared" si="27"/>
        <v>156.10000000000002</v>
      </c>
      <c r="H51" s="357">
        <f t="shared" si="27"/>
        <v>478.38000000000005</v>
      </c>
      <c r="I51" s="352">
        <f t="shared" si="27"/>
        <v>53.06</v>
      </c>
      <c r="J51" s="352">
        <f t="shared" si="27"/>
        <v>54.60000000000001</v>
      </c>
      <c r="K51" s="352">
        <f t="shared" si="27"/>
        <v>214.62000000000003</v>
      </c>
      <c r="L51" s="352">
        <f t="shared" si="27"/>
        <v>156.10000000000002</v>
      </c>
      <c r="M51" s="357">
        <f t="shared" si="27"/>
        <v>4900.000000000001</v>
      </c>
      <c r="N51" s="357">
        <f t="shared" si="27"/>
        <v>171.50000000000003</v>
      </c>
      <c r="O51" s="357">
        <f t="shared" si="27"/>
        <v>171.50000000000003</v>
      </c>
      <c r="P51" s="377">
        <f t="shared" si="25"/>
        <v>3.4999999999999996</v>
      </c>
      <c r="Q51" s="357">
        <f t="shared" si="27"/>
        <v>5071.500000000001</v>
      </c>
      <c r="R51" s="357"/>
      <c r="S51" s="357">
        <f t="shared" si="27"/>
        <v>1014.3000000000001</v>
      </c>
      <c r="T51" s="360">
        <f t="shared" si="27"/>
        <v>6085.8</v>
      </c>
      <c r="U51" s="421"/>
      <c r="V51" s="421"/>
    </row>
    <row r="52" spans="1:22" ht="12.75">
      <c r="A52" s="334" t="s">
        <v>283</v>
      </c>
      <c r="B52" s="351"/>
      <c r="C52" s="748">
        <v>0.16</v>
      </c>
      <c r="D52" s="1159">
        <f aca="true" t="shared" si="28" ref="D52:T54">$C52*D$49</f>
        <v>4384.32</v>
      </c>
      <c r="E52" s="1141">
        <f t="shared" si="28"/>
        <v>0</v>
      </c>
      <c r="F52" s="357">
        <f t="shared" si="28"/>
        <v>490.56</v>
      </c>
      <c r="G52" s="357">
        <f t="shared" si="28"/>
        <v>178.4</v>
      </c>
      <c r="H52" s="357">
        <f t="shared" si="28"/>
        <v>546.72</v>
      </c>
      <c r="I52" s="352">
        <f t="shared" si="28"/>
        <v>60.64</v>
      </c>
      <c r="J52" s="352">
        <f t="shared" si="28"/>
        <v>62.4</v>
      </c>
      <c r="K52" s="352">
        <f t="shared" si="28"/>
        <v>245.28</v>
      </c>
      <c r="L52" s="352">
        <f t="shared" si="28"/>
        <v>178.4</v>
      </c>
      <c r="M52" s="357">
        <f t="shared" si="28"/>
        <v>5600</v>
      </c>
      <c r="N52" s="357">
        <f t="shared" si="28"/>
        <v>196</v>
      </c>
      <c r="O52" s="357">
        <f t="shared" si="28"/>
        <v>196</v>
      </c>
      <c r="P52" s="377">
        <f t="shared" si="25"/>
        <v>3.5000000000000004</v>
      </c>
      <c r="Q52" s="357">
        <f t="shared" si="28"/>
        <v>5796</v>
      </c>
      <c r="R52" s="357"/>
      <c r="S52" s="357">
        <f t="shared" si="28"/>
        <v>1159.2</v>
      </c>
      <c r="T52" s="360">
        <f t="shared" si="28"/>
        <v>6955.2</v>
      </c>
      <c r="U52" s="421"/>
      <c r="V52" s="421"/>
    </row>
    <row r="53" spans="1:22" ht="12.75">
      <c r="A53" s="334" t="s">
        <v>284</v>
      </c>
      <c r="B53" s="351"/>
      <c r="C53" s="748">
        <v>0.2</v>
      </c>
      <c r="D53" s="1159">
        <f t="shared" si="28"/>
        <v>5480.400000000001</v>
      </c>
      <c r="E53" s="1141">
        <f t="shared" si="28"/>
        <v>0</v>
      </c>
      <c r="F53" s="357">
        <f t="shared" si="28"/>
        <v>613.2</v>
      </c>
      <c r="G53" s="357">
        <f t="shared" si="28"/>
        <v>223</v>
      </c>
      <c r="H53" s="357">
        <f t="shared" si="28"/>
        <v>683.4000000000001</v>
      </c>
      <c r="I53" s="352">
        <f t="shared" si="28"/>
        <v>75.8</v>
      </c>
      <c r="J53" s="352">
        <f t="shared" si="28"/>
        <v>78</v>
      </c>
      <c r="K53" s="352">
        <f t="shared" si="28"/>
        <v>306.6</v>
      </c>
      <c r="L53" s="352">
        <f t="shared" si="28"/>
        <v>223</v>
      </c>
      <c r="M53" s="357">
        <f t="shared" si="28"/>
        <v>7000</v>
      </c>
      <c r="N53" s="357">
        <f t="shared" si="28"/>
        <v>245</v>
      </c>
      <c r="O53" s="357">
        <f t="shared" si="28"/>
        <v>245</v>
      </c>
      <c r="P53" s="377">
        <f t="shared" si="25"/>
        <v>3.5000000000000004</v>
      </c>
      <c r="Q53" s="357">
        <f t="shared" si="28"/>
        <v>7245</v>
      </c>
      <c r="R53" s="357"/>
      <c r="S53" s="357">
        <f t="shared" si="28"/>
        <v>1449</v>
      </c>
      <c r="T53" s="360">
        <f t="shared" si="28"/>
        <v>8694</v>
      </c>
      <c r="U53" s="421"/>
      <c r="V53" s="421"/>
    </row>
    <row r="54" spans="1:22" ht="12.75">
      <c r="A54" s="334" t="s">
        <v>285</v>
      </c>
      <c r="B54" s="351"/>
      <c r="C54" s="748">
        <v>0.2</v>
      </c>
      <c r="D54" s="1159">
        <f t="shared" si="28"/>
        <v>5480.400000000001</v>
      </c>
      <c r="E54" s="1141">
        <f t="shared" si="28"/>
        <v>0</v>
      </c>
      <c r="F54" s="357">
        <f t="shared" si="28"/>
        <v>613.2</v>
      </c>
      <c r="G54" s="357">
        <f t="shared" si="28"/>
        <v>223</v>
      </c>
      <c r="H54" s="357">
        <f t="shared" si="28"/>
        <v>683.4000000000001</v>
      </c>
      <c r="I54" s="352">
        <f t="shared" si="28"/>
        <v>75.8</v>
      </c>
      <c r="J54" s="352">
        <f t="shared" si="28"/>
        <v>78</v>
      </c>
      <c r="K54" s="352">
        <f t="shared" si="28"/>
        <v>306.6</v>
      </c>
      <c r="L54" s="352">
        <f t="shared" si="28"/>
        <v>223</v>
      </c>
      <c r="M54" s="357">
        <f t="shared" si="28"/>
        <v>7000</v>
      </c>
      <c r="N54" s="357">
        <f t="shared" si="28"/>
        <v>245</v>
      </c>
      <c r="O54" s="357">
        <f t="shared" si="28"/>
        <v>245</v>
      </c>
      <c r="P54" s="377">
        <f t="shared" si="25"/>
        <v>3.5000000000000004</v>
      </c>
      <c r="Q54" s="357">
        <f t="shared" si="28"/>
        <v>7245</v>
      </c>
      <c r="R54" s="357"/>
      <c r="S54" s="357">
        <f t="shared" si="28"/>
        <v>1449</v>
      </c>
      <c r="T54" s="360">
        <f t="shared" si="28"/>
        <v>8694</v>
      </c>
      <c r="U54" s="421"/>
      <c r="V54" s="421"/>
    </row>
    <row r="55" spans="1:22" ht="12.75">
      <c r="A55" s="379"/>
      <c r="B55" s="355"/>
      <c r="C55" s="743"/>
      <c r="D55" s="794"/>
      <c r="E55" s="1146"/>
      <c r="F55" s="355"/>
      <c r="G55" s="355"/>
      <c r="H55" s="355"/>
      <c r="I55" s="352"/>
      <c r="J55" s="769"/>
      <c r="K55" s="769"/>
      <c r="L55" s="769"/>
      <c r="M55" s="380"/>
      <c r="N55" s="355"/>
      <c r="O55" s="355"/>
      <c r="P55" s="358"/>
      <c r="Q55" s="286"/>
      <c r="R55" s="386"/>
      <c r="S55" s="355"/>
      <c r="T55" s="381"/>
      <c r="U55" s="421"/>
      <c r="V55" s="421"/>
    </row>
    <row r="56" spans="1:22" ht="12.75">
      <c r="A56" s="1252" t="s">
        <v>444</v>
      </c>
      <c r="B56" s="333" t="s">
        <v>100</v>
      </c>
      <c r="C56" s="742">
        <v>1</v>
      </c>
      <c r="D56" s="1162">
        <v>4945.24</v>
      </c>
      <c r="E56" s="1143">
        <v>265.08</v>
      </c>
      <c r="F56" s="371">
        <v>1326.6</v>
      </c>
      <c r="G56" s="371"/>
      <c r="H56" s="371">
        <f>I56+J56+K56+L56</f>
        <v>2591.9</v>
      </c>
      <c r="I56" s="764"/>
      <c r="J56" s="369">
        <v>2365.75</v>
      </c>
      <c r="K56" s="764">
        <v>226.15</v>
      </c>
      <c r="L56" s="764"/>
      <c r="M56" s="371">
        <f>D56+F56+G56+H56</f>
        <v>8863.74</v>
      </c>
      <c r="N56" s="371">
        <v>1136.26</v>
      </c>
      <c r="O56" s="371">
        <v>1136.26</v>
      </c>
      <c r="P56" s="362">
        <f aca="true" t="shared" si="29" ref="P56:P61">N56/M56*100</f>
        <v>12.81919370378644</v>
      </c>
      <c r="Q56" s="387">
        <f>N56+M56</f>
        <v>10000</v>
      </c>
      <c r="R56" s="366"/>
      <c r="S56" s="371">
        <f>Q56*0.2</f>
        <v>2000</v>
      </c>
      <c r="T56" s="373">
        <f>S56+R56+Q56</f>
        <v>12000</v>
      </c>
      <c r="U56" s="421"/>
      <c r="V56" s="421"/>
    </row>
    <row r="57" spans="1:22" ht="12.75">
      <c r="A57" s="1253"/>
      <c r="B57" s="333" t="s">
        <v>577</v>
      </c>
      <c r="C57" s="749">
        <f>C58+C59+C60+C61</f>
        <v>148</v>
      </c>
      <c r="D57" s="1161">
        <f aca="true" t="shared" si="30" ref="D57:E61">$C57*D$56</f>
        <v>731895.52</v>
      </c>
      <c r="E57" s="1142">
        <f t="shared" si="30"/>
        <v>39231.84</v>
      </c>
      <c r="F57" s="388">
        <f aca="true" t="shared" si="31" ref="F57:O61">$C57*F$56</f>
        <v>196336.8</v>
      </c>
      <c r="G57" s="388">
        <f t="shared" si="31"/>
        <v>0</v>
      </c>
      <c r="H57" s="388">
        <f t="shared" si="31"/>
        <v>383601.2</v>
      </c>
      <c r="I57" s="388">
        <f t="shared" si="31"/>
        <v>0</v>
      </c>
      <c r="J57" s="388">
        <f t="shared" si="31"/>
        <v>350131</v>
      </c>
      <c r="K57" s="388">
        <f t="shared" si="31"/>
        <v>33470.200000000004</v>
      </c>
      <c r="L57" s="388">
        <f t="shared" si="31"/>
        <v>0</v>
      </c>
      <c r="M57" s="388">
        <f t="shared" si="31"/>
        <v>1311833.52</v>
      </c>
      <c r="N57" s="388">
        <f t="shared" si="31"/>
        <v>168166.48</v>
      </c>
      <c r="O57" s="388">
        <f t="shared" si="31"/>
        <v>168166.48</v>
      </c>
      <c r="P57" s="374">
        <f>P58+P59+P60+P61</f>
        <v>51.27677481514576</v>
      </c>
      <c r="Q57" s="388">
        <f>$C57*Q$56</f>
        <v>1480000</v>
      </c>
      <c r="R57" s="374"/>
      <c r="S57" s="388">
        <f>$C57*S$56</f>
        <v>296000</v>
      </c>
      <c r="T57" s="765">
        <f>$C57*T$56</f>
        <v>1776000</v>
      </c>
      <c r="U57" s="421"/>
      <c r="V57" s="421"/>
    </row>
    <row r="58" spans="1:22" ht="12.75">
      <c r="A58" s="334" t="s">
        <v>282</v>
      </c>
      <c r="B58" s="333"/>
      <c r="C58" s="750">
        <v>37.3</v>
      </c>
      <c r="D58" s="1159">
        <f t="shared" si="30"/>
        <v>184457.452</v>
      </c>
      <c r="E58" s="1141">
        <f t="shared" si="30"/>
        <v>9887.483999999999</v>
      </c>
      <c r="F58" s="357">
        <f t="shared" si="31"/>
        <v>49482.17999999999</v>
      </c>
      <c r="G58" s="357">
        <f t="shared" si="31"/>
        <v>0</v>
      </c>
      <c r="H58" s="357">
        <f t="shared" si="31"/>
        <v>96677.87</v>
      </c>
      <c r="I58" s="357">
        <f t="shared" si="31"/>
        <v>0</v>
      </c>
      <c r="J58" s="357">
        <f t="shared" si="31"/>
        <v>88242.47499999999</v>
      </c>
      <c r="K58" s="357">
        <f t="shared" si="31"/>
        <v>8435.395</v>
      </c>
      <c r="L58" s="357">
        <f t="shared" si="31"/>
        <v>0</v>
      </c>
      <c r="M58" s="357">
        <f t="shared" si="31"/>
        <v>330617.502</v>
      </c>
      <c r="N58" s="357">
        <f t="shared" si="31"/>
        <v>42382.498</v>
      </c>
      <c r="O58" s="357">
        <f t="shared" si="31"/>
        <v>42382.498</v>
      </c>
      <c r="P58" s="766">
        <f t="shared" si="29"/>
        <v>12.81919370378644</v>
      </c>
      <c r="Q58" s="357">
        <f>$C58*Q$56</f>
        <v>373000</v>
      </c>
      <c r="R58" s="357"/>
      <c r="S58" s="357">
        <f aca="true" t="shared" si="32" ref="S58:T61">$C58*S$56</f>
        <v>74600</v>
      </c>
      <c r="T58" s="360">
        <f t="shared" si="32"/>
        <v>447599.99999999994</v>
      </c>
      <c r="U58" s="421"/>
      <c r="V58" s="421"/>
    </row>
    <row r="59" spans="1:22" ht="12.75">
      <c r="A59" s="334" t="s">
        <v>283</v>
      </c>
      <c r="B59" s="351"/>
      <c r="C59" s="751">
        <v>36.6</v>
      </c>
      <c r="D59" s="1159">
        <f t="shared" si="30"/>
        <v>180995.78399999999</v>
      </c>
      <c r="E59" s="1141">
        <f t="shared" si="30"/>
        <v>9701.928</v>
      </c>
      <c r="F59" s="357">
        <f t="shared" si="31"/>
        <v>48553.56</v>
      </c>
      <c r="G59" s="357">
        <f t="shared" si="31"/>
        <v>0</v>
      </c>
      <c r="H59" s="357">
        <f t="shared" si="31"/>
        <v>94863.54000000001</v>
      </c>
      <c r="I59" s="357">
        <f t="shared" si="31"/>
        <v>0</v>
      </c>
      <c r="J59" s="357">
        <f t="shared" si="31"/>
        <v>86586.45</v>
      </c>
      <c r="K59" s="357">
        <f t="shared" si="31"/>
        <v>8277.09</v>
      </c>
      <c r="L59" s="357">
        <f t="shared" si="31"/>
        <v>0</v>
      </c>
      <c r="M59" s="357">
        <f t="shared" si="31"/>
        <v>324412.884</v>
      </c>
      <c r="N59" s="357">
        <f t="shared" si="31"/>
        <v>41587.116</v>
      </c>
      <c r="O59" s="357">
        <f t="shared" si="31"/>
        <v>41587.116</v>
      </c>
      <c r="P59" s="766">
        <f t="shared" si="29"/>
        <v>12.81919370378644</v>
      </c>
      <c r="Q59" s="357">
        <f>$C59*Q$56</f>
        <v>366000</v>
      </c>
      <c r="R59" s="357"/>
      <c r="S59" s="357">
        <f t="shared" si="32"/>
        <v>73200</v>
      </c>
      <c r="T59" s="360">
        <f t="shared" si="32"/>
        <v>439200</v>
      </c>
      <c r="U59" s="421"/>
      <c r="V59" s="421"/>
    </row>
    <row r="60" spans="1:22" ht="12.75">
      <c r="A60" s="334" t="s">
        <v>284</v>
      </c>
      <c r="B60" s="351"/>
      <c r="C60" s="751">
        <v>35.5</v>
      </c>
      <c r="D60" s="1159">
        <f t="shared" si="30"/>
        <v>175556.02</v>
      </c>
      <c r="E60" s="1141">
        <f t="shared" si="30"/>
        <v>9410.34</v>
      </c>
      <c r="F60" s="357">
        <f t="shared" si="31"/>
        <v>47094.299999999996</v>
      </c>
      <c r="G60" s="357">
        <f t="shared" si="31"/>
        <v>0</v>
      </c>
      <c r="H60" s="357">
        <f t="shared" si="31"/>
        <v>92012.45</v>
      </c>
      <c r="I60" s="357">
        <f t="shared" si="31"/>
        <v>0</v>
      </c>
      <c r="J60" s="357">
        <f t="shared" si="31"/>
        <v>83984.125</v>
      </c>
      <c r="K60" s="357">
        <f t="shared" si="31"/>
        <v>8028.325</v>
      </c>
      <c r="L60" s="357">
        <f t="shared" si="31"/>
        <v>0</v>
      </c>
      <c r="M60" s="357">
        <f t="shared" si="31"/>
        <v>314662.77</v>
      </c>
      <c r="N60" s="357">
        <f t="shared" si="31"/>
        <v>40337.23</v>
      </c>
      <c r="O60" s="357">
        <f t="shared" si="31"/>
        <v>40337.23</v>
      </c>
      <c r="P60" s="766">
        <f t="shared" si="29"/>
        <v>12.81919370378644</v>
      </c>
      <c r="Q60" s="357">
        <f>$C60*Q$56</f>
        <v>355000</v>
      </c>
      <c r="R60" s="357"/>
      <c r="S60" s="357">
        <f t="shared" si="32"/>
        <v>71000</v>
      </c>
      <c r="T60" s="360">
        <f t="shared" si="32"/>
        <v>426000</v>
      </c>
      <c r="U60" s="421"/>
      <c r="V60" s="421"/>
    </row>
    <row r="61" spans="1:22" ht="12.75">
      <c r="A61" s="334" t="s">
        <v>285</v>
      </c>
      <c r="B61" s="351"/>
      <c r="C61" s="751">
        <v>38.6</v>
      </c>
      <c r="D61" s="1159">
        <f t="shared" si="30"/>
        <v>190886.264</v>
      </c>
      <c r="E61" s="1141">
        <f t="shared" si="30"/>
        <v>10232.088</v>
      </c>
      <c r="F61" s="357">
        <f t="shared" si="31"/>
        <v>51206.759999999995</v>
      </c>
      <c r="G61" s="357">
        <f t="shared" si="31"/>
        <v>0</v>
      </c>
      <c r="H61" s="357">
        <f t="shared" si="31"/>
        <v>100047.34000000001</v>
      </c>
      <c r="I61" s="357">
        <f t="shared" si="31"/>
        <v>0</v>
      </c>
      <c r="J61" s="357">
        <f t="shared" si="31"/>
        <v>91317.95</v>
      </c>
      <c r="K61" s="357">
        <f t="shared" si="31"/>
        <v>8729.390000000001</v>
      </c>
      <c r="L61" s="357">
        <f t="shared" si="31"/>
        <v>0</v>
      </c>
      <c r="M61" s="357">
        <f t="shared" si="31"/>
        <v>342140.364</v>
      </c>
      <c r="N61" s="357">
        <f t="shared" si="31"/>
        <v>43859.636</v>
      </c>
      <c r="O61" s="357">
        <f t="shared" si="31"/>
        <v>43859.636</v>
      </c>
      <c r="P61" s="766">
        <f t="shared" si="29"/>
        <v>12.81919370378644</v>
      </c>
      <c r="Q61" s="357">
        <f>$C61*Q$56</f>
        <v>386000</v>
      </c>
      <c r="R61" s="357"/>
      <c r="S61" s="357">
        <f t="shared" si="32"/>
        <v>77200</v>
      </c>
      <c r="T61" s="360">
        <f t="shared" si="32"/>
        <v>463200</v>
      </c>
      <c r="U61" s="421"/>
      <c r="V61" s="421"/>
    </row>
    <row r="62" spans="1:22" ht="12.75">
      <c r="A62" s="392"/>
      <c r="B62" s="351"/>
      <c r="C62" s="743"/>
      <c r="D62" s="1166"/>
      <c r="E62" s="1148"/>
      <c r="F62" s="384"/>
      <c r="G62" s="384"/>
      <c r="H62" s="384"/>
      <c r="I62" s="393"/>
      <c r="J62" s="393"/>
      <c r="K62" s="393"/>
      <c r="L62" s="393"/>
      <c r="M62" s="384"/>
      <c r="N62" s="384"/>
      <c r="O62" s="384"/>
      <c r="P62" s="358"/>
      <c r="Q62" s="394"/>
      <c r="R62" s="386"/>
      <c r="S62" s="358"/>
      <c r="T62" s="381"/>
      <c r="U62" s="421"/>
      <c r="V62" s="421"/>
    </row>
    <row r="63" spans="1:22" ht="13.5" thickBot="1">
      <c r="A63" s="395"/>
      <c r="B63" s="396"/>
      <c r="C63" s="752"/>
      <c r="D63" s="1167"/>
      <c r="E63" s="1149"/>
      <c r="F63" s="396"/>
      <c r="G63" s="396"/>
      <c r="H63" s="396"/>
      <c r="I63" s="397"/>
      <c r="J63" s="397"/>
      <c r="K63" s="397"/>
      <c r="L63" s="397"/>
      <c r="M63" s="396"/>
      <c r="N63" s="398"/>
      <c r="O63" s="399"/>
      <c r="P63" s="396"/>
      <c r="Q63" s="396"/>
      <c r="R63" s="400"/>
      <c r="S63" s="401"/>
      <c r="T63" s="402"/>
      <c r="U63" s="421"/>
      <c r="V63" s="421"/>
    </row>
    <row r="64" spans="1:22" ht="24">
      <c r="A64" s="403" t="s">
        <v>665</v>
      </c>
      <c r="B64" s="404" t="s">
        <v>264</v>
      </c>
      <c r="C64" s="753" t="s">
        <v>666</v>
      </c>
      <c r="D64" s="1168">
        <f aca="true" t="shared" si="33" ref="D64:L68">D57+D50+D43+D36+D29+D22+D15</f>
        <v>35083860.019999996</v>
      </c>
      <c r="E64" s="1150">
        <f>E57+E50+E43+E36+E29+E22+E15</f>
        <v>6119082.9399999995</v>
      </c>
      <c r="F64" s="779">
        <f t="shared" si="33"/>
        <v>2597750.3400000003</v>
      </c>
      <c r="G64" s="779">
        <f t="shared" si="33"/>
        <v>4708684.220000001</v>
      </c>
      <c r="H64" s="779">
        <f t="shared" si="33"/>
        <v>5856361.400000001</v>
      </c>
      <c r="I64" s="779">
        <f t="shared" si="33"/>
        <v>388806.39</v>
      </c>
      <c r="J64" s="779">
        <f t="shared" si="33"/>
        <v>3900996.04</v>
      </c>
      <c r="K64" s="779">
        <f t="shared" si="33"/>
        <v>1416244.12</v>
      </c>
      <c r="L64" s="779">
        <f t="shared" si="33"/>
        <v>150314.85</v>
      </c>
      <c r="M64" s="779">
        <f>D64+F64+G64+H64</f>
        <v>48246655.98</v>
      </c>
      <c r="N64" s="779">
        <f>N57+N50+N43+N36+N29+N22+N15</f>
        <v>11649036.149999999</v>
      </c>
      <c r="O64" s="779">
        <f>O57+O50+O43+O36+O29+O22+O15</f>
        <v>3397458.4999999995</v>
      </c>
      <c r="P64" s="780">
        <f>N64/M64*100</f>
        <v>24.144753482664065</v>
      </c>
      <c r="Q64" s="779">
        <f>Q57+Q50+Q43+Q36+Q29+Q22+Q15+1</f>
        <v>59895693.06999999</v>
      </c>
      <c r="R64" s="779">
        <f>R57+R50+R43+R36+R29+R22+R15</f>
        <v>6375400</v>
      </c>
      <c r="S64" s="779">
        <f>S57+S50+S43+S36+S29+S22+S15-1</f>
        <v>13254217.94</v>
      </c>
      <c r="T64" s="781">
        <f>T57+T50+T43+T36+T29+T22+T15</f>
        <v>79525311.00999999</v>
      </c>
      <c r="U64" s="421"/>
      <c r="V64" s="421"/>
    </row>
    <row r="65" spans="1:22" ht="24">
      <c r="A65" s="334" t="s">
        <v>282</v>
      </c>
      <c r="B65" s="405" t="s">
        <v>264</v>
      </c>
      <c r="C65" s="754"/>
      <c r="D65" s="1158">
        <f t="shared" si="33"/>
        <v>8752449.151</v>
      </c>
      <c r="E65" s="1139">
        <f>E58+E51+E44+E37+E30+E23+E16</f>
        <v>1519751.7699999998</v>
      </c>
      <c r="F65" s="352">
        <f t="shared" si="33"/>
        <v>638651.5930000001</v>
      </c>
      <c r="G65" s="352">
        <f t="shared" si="33"/>
        <v>1183558.5240000002</v>
      </c>
      <c r="H65" s="352">
        <f>H9+H37+H44+H51+H58</f>
        <v>1473983.0089999996</v>
      </c>
      <c r="I65" s="352">
        <f>I9+I37+I44+I51+I58</f>
        <v>97844.75999999998</v>
      </c>
      <c r="J65" s="352">
        <f>J9+J37+J44+J51+J58</f>
        <v>981606.103</v>
      </c>
      <c r="K65" s="352">
        <f>K9+K37+K44+K51+K58</f>
        <v>356770.526</v>
      </c>
      <c r="L65" s="352">
        <f>L9+L37+L44+L51+L58</f>
        <v>37761.619999999995</v>
      </c>
      <c r="M65" s="406">
        <f>D65+F65+G65+H65</f>
        <v>12048642.277</v>
      </c>
      <c r="N65" s="352">
        <f>N9+N37+N44+N51+N58</f>
        <v>2927992.994</v>
      </c>
      <c r="O65" s="352">
        <f>O9+O37+O44+O51+O58</f>
        <v>855522.1460000001</v>
      </c>
      <c r="P65" s="408">
        <f>N65/M65*100</f>
        <v>24.301435188173276</v>
      </c>
      <c r="Q65" s="352">
        <f>Q9+Q37+Q44+Q51+Q58</f>
        <v>14976635.256</v>
      </c>
      <c r="R65" s="352">
        <f>R9+R37+R44+R51+R58</f>
        <v>1606400</v>
      </c>
      <c r="S65" s="352">
        <f>S9+S37+S44+S51+S58</f>
        <v>3316607.1739999996</v>
      </c>
      <c r="T65" s="354">
        <f>T9+T37+T44+T51+T58</f>
        <v>19899642.43</v>
      </c>
      <c r="U65" s="421"/>
      <c r="V65" s="421"/>
    </row>
    <row r="66" spans="1:22" ht="24">
      <c r="A66" s="334" t="s">
        <v>283</v>
      </c>
      <c r="B66" s="405" t="s">
        <v>264</v>
      </c>
      <c r="C66" s="755"/>
      <c r="D66" s="1158">
        <f t="shared" si="33"/>
        <v>8622096.183</v>
      </c>
      <c r="E66" s="1139">
        <f>E59+E52+E45+E38+E31+E24+E17</f>
        <v>1498145.934</v>
      </c>
      <c r="F66" s="352">
        <f t="shared" si="33"/>
        <v>629749.4730000001</v>
      </c>
      <c r="G66" s="352">
        <f t="shared" si="33"/>
        <v>1165281.344</v>
      </c>
      <c r="H66" s="407">
        <f t="shared" si="33"/>
        <v>1450838.049</v>
      </c>
      <c r="I66" s="407">
        <f t="shared" si="33"/>
        <v>96313.165</v>
      </c>
      <c r="J66" s="407">
        <f t="shared" si="33"/>
        <v>966100.368</v>
      </c>
      <c r="K66" s="407">
        <f t="shared" si="33"/>
        <v>351216.02100000007</v>
      </c>
      <c r="L66" s="407">
        <f t="shared" si="33"/>
        <v>37208.495</v>
      </c>
      <c r="M66" s="406">
        <f>D66+F66+G66+H66</f>
        <v>11867965.049</v>
      </c>
      <c r="N66" s="407">
        <f>N59+N52+N45+N38+N31+N24+N17</f>
        <v>2882011.1769999997</v>
      </c>
      <c r="O66" s="407">
        <f>O59+O52+O45+O38+O31+O24+O17</f>
        <v>841574.764</v>
      </c>
      <c r="P66" s="408">
        <f>N66/M66*100</f>
        <v>24.28395403172205</v>
      </c>
      <c r="Q66" s="407">
        <f>Q10+Q38+Q45+Q52+Q59</f>
        <v>14749976.210999997</v>
      </c>
      <c r="R66" s="407">
        <f>R10</f>
        <v>1581300</v>
      </c>
      <c r="S66" s="407">
        <f>S59+S52+S45+S38+S10</f>
        <v>3266255.364</v>
      </c>
      <c r="T66" s="737">
        <f>SUM(Q66:S66)</f>
        <v>19597531.574999996</v>
      </c>
      <c r="U66" s="421"/>
      <c r="V66" s="421"/>
    </row>
    <row r="67" spans="1:22" ht="24">
      <c r="A67" s="334" t="s">
        <v>284</v>
      </c>
      <c r="B67" s="405" t="s">
        <v>264</v>
      </c>
      <c r="C67" s="754"/>
      <c r="D67" s="1158">
        <f t="shared" si="33"/>
        <v>8395257.677</v>
      </c>
      <c r="E67" s="1139">
        <f>E60+E53+E46+E39+E32+E25+E18</f>
        <v>1463155.793</v>
      </c>
      <c r="F67" s="352">
        <f t="shared" si="33"/>
        <v>618249.589</v>
      </c>
      <c r="G67" s="352">
        <f t="shared" si="33"/>
        <v>1129792.602</v>
      </c>
      <c r="H67" s="407">
        <f t="shared" si="33"/>
        <v>1405898.882</v>
      </c>
      <c r="I67" s="407">
        <f t="shared" si="33"/>
        <v>93294.255</v>
      </c>
      <c r="J67" s="407">
        <f t="shared" si="33"/>
        <v>936294.6940000001</v>
      </c>
      <c r="K67" s="407">
        <f t="shared" si="33"/>
        <v>340181.9480000001</v>
      </c>
      <c r="L67" s="407">
        <f t="shared" si="33"/>
        <v>36127.985</v>
      </c>
      <c r="M67" s="406">
        <f>D67+F67+G67+H67</f>
        <v>11549198.749999998</v>
      </c>
      <c r="N67" s="407">
        <f>N60+N53+N46+N39+N32+N25+N18+1</f>
        <v>2793194.8829999994</v>
      </c>
      <c r="O67" s="407">
        <f>O60+O53+O46+O39+O32+O25+O18</f>
        <v>814306.0339999999</v>
      </c>
      <c r="P67" s="408">
        <f>N67/M67*100</f>
        <v>24.185183262172192</v>
      </c>
      <c r="Q67" s="407">
        <f>Q11+Q39+Q46+Q53+Q60</f>
        <v>14342393.117999997</v>
      </c>
      <c r="R67" s="407">
        <f>R11</f>
        <v>1531100</v>
      </c>
      <c r="S67" s="407">
        <f>S60+S53+S46+S39+S11</f>
        <v>3174698.747</v>
      </c>
      <c r="T67" s="737">
        <f>SUM(Q67:S67)</f>
        <v>19048191.865</v>
      </c>
      <c r="U67" s="421"/>
      <c r="V67" s="421"/>
    </row>
    <row r="68" spans="1:22" ht="24.75" thickBot="1">
      <c r="A68" s="409" t="s">
        <v>285</v>
      </c>
      <c r="B68" s="410" t="s">
        <v>264</v>
      </c>
      <c r="C68" s="756"/>
      <c r="D68" s="1169">
        <f t="shared" si="33"/>
        <v>9314056.009</v>
      </c>
      <c r="E68" s="1151">
        <f>E61+E54+E47+E40+E33+E26+E19</f>
        <v>1638028.443</v>
      </c>
      <c r="F68" s="412">
        <f t="shared" si="33"/>
        <v>711099.685</v>
      </c>
      <c r="G68" s="412">
        <f t="shared" si="33"/>
        <v>1230051.75</v>
      </c>
      <c r="H68" s="411">
        <f t="shared" si="33"/>
        <v>1525641.46</v>
      </c>
      <c r="I68" s="411">
        <f t="shared" si="33"/>
        <v>101354.20999999999</v>
      </c>
      <c r="J68" s="411">
        <f t="shared" si="33"/>
        <v>1016994.875</v>
      </c>
      <c r="K68" s="411">
        <f t="shared" si="33"/>
        <v>368075.625</v>
      </c>
      <c r="L68" s="411">
        <f t="shared" si="33"/>
        <v>39216.75</v>
      </c>
      <c r="M68" s="758">
        <f>D68+F68+G68+H68</f>
        <v>12780848.904</v>
      </c>
      <c r="N68" s="411">
        <f>N61+N54+N47+N40+N33+N26+N19</f>
        <v>3045838.0959999994</v>
      </c>
      <c r="O68" s="411">
        <f>O61+O54+O47+O40+O33+O26+O19</f>
        <v>886055.5559999999</v>
      </c>
      <c r="P68" s="413">
        <f>N68/M68*100</f>
        <v>23.831265973629883</v>
      </c>
      <c r="Q68" s="411">
        <f>Q12+Q40+Q47+Q54+Q61</f>
        <v>15826688.485</v>
      </c>
      <c r="R68" s="411">
        <f>R12</f>
        <v>1656600</v>
      </c>
      <c r="S68" s="411">
        <f>S61+S54+S47+S40+S12</f>
        <v>3496657.6550000003</v>
      </c>
      <c r="T68" s="738">
        <f>SUM(Q68:S68)</f>
        <v>20979946.14</v>
      </c>
      <c r="U68" s="421"/>
      <c r="V68" s="421"/>
    </row>
    <row r="69" spans="1:20" ht="12.75">
      <c r="A69" s="414"/>
      <c r="B69" s="415"/>
      <c r="C69" s="296"/>
      <c r="D69" s="416"/>
      <c r="E69" s="416"/>
      <c r="F69" s="417"/>
      <c r="G69" s="417"/>
      <c r="H69" s="417"/>
      <c r="I69" s="417"/>
      <c r="J69" s="417"/>
      <c r="K69" s="417"/>
      <c r="L69" s="417"/>
      <c r="M69" s="416"/>
      <c r="N69" s="418"/>
      <c r="O69" s="417"/>
      <c r="P69" s="419"/>
      <c r="Q69" s="418"/>
      <c r="R69" s="418"/>
      <c r="S69" s="418"/>
      <c r="T69" s="418"/>
    </row>
    <row r="70" spans="1:11" ht="12.75">
      <c r="A70" s="274"/>
      <c r="B70" s="137" t="s">
        <v>667</v>
      </c>
      <c r="K70" s="420"/>
    </row>
    <row r="71" spans="1:17" ht="12.75">
      <c r="A71" s="274"/>
      <c r="B71" s="137" t="s">
        <v>668</v>
      </c>
      <c r="K71" s="420"/>
      <c r="N71" s="137" t="s">
        <v>350</v>
      </c>
      <c r="Q71" s="421"/>
    </row>
    <row r="72" spans="1:17" ht="12.75">
      <c r="A72" s="274"/>
      <c r="Q72" s="421"/>
    </row>
    <row r="73" spans="1:17" ht="24" customHeight="1">
      <c r="A73" s="274"/>
      <c r="B73" s="137" t="s">
        <v>1451</v>
      </c>
      <c r="K73" s="420"/>
      <c r="N73" s="137" t="s">
        <v>1448</v>
      </c>
      <c r="Q73" s="421"/>
    </row>
    <row r="74" spans="1:17" ht="12.75">
      <c r="A74" s="274"/>
      <c r="Q74" s="421"/>
    </row>
    <row r="75" spans="2:17" ht="22.5" customHeight="1">
      <c r="B75" s="137" t="s">
        <v>1113</v>
      </c>
      <c r="N75" s="137" t="s">
        <v>352</v>
      </c>
      <c r="Q75" s="421"/>
    </row>
  </sheetData>
  <sheetProtection/>
  <mergeCells count="26">
    <mergeCell ref="A1:T1"/>
    <mergeCell ref="A2:T2"/>
    <mergeCell ref="A5:A7"/>
    <mergeCell ref="B5:B7"/>
    <mergeCell ref="C5:C7"/>
    <mergeCell ref="D5:M5"/>
    <mergeCell ref="N5:N7"/>
    <mergeCell ref="P5:P7"/>
    <mergeCell ref="Q5:Q7"/>
    <mergeCell ref="R5:R7"/>
    <mergeCell ref="S5:S7"/>
    <mergeCell ref="T5:T7"/>
    <mergeCell ref="D6:D7"/>
    <mergeCell ref="F6:F7"/>
    <mergeCell ref="G6:G7"/>
    <mergeCell ref="H6:H7"/>
    <mergeCell ref="I6:L6"/>
    <mergeCell ref="M6:M7"/>
    <mergeCell ref="O6:O7"/>
    <mergeCell ref="A56:A57"/>
    <mergeCell ref="A14:A15"/>
    <mergeCell ref="A21:A22"/>
    <mergeCell ref="A28:A29"/>
    <mergeCell ref="A35:A36"/>
    <mergeCell ref="A42:A43"/>
    <mergeCell ref="A49:A50"/>
  </mergeCells>
  <printOptions/>
  <pageMargins left="0.2755905511811024" right="0.1968503937007874" top="0.53" bottom="0.2755905511811024" header="0.3149606299212598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7.25390625" style="0" customWidth="1"/>
    <col min="2" max="2" width="32.00390625" style="0" customWidth="1"/>
    <col min="3" max="3" width="12.75390625" style="0" customWidth="1"/>
    <col min="4" max="4" width="9.875" style="0" customWidth="1"/>
    <col min="5" max="6" width="9.75390625" style="0" customWidth="1"/>
    <col min="7" max="7" width="10.00390625" style="0" customWidth="1"/>
  </cols>
  <sheetData>
    <row r="1" spans="1:7" ht="12.75">
      <c r="A1" s="137" t="s">
        <v>678</v>
      </c>
      <c r="B1" s="137"/>
      <c r="C1" s="137"/>
      <c r="D1" s="1278" t="s">
        <v>679</v>
      </c>
      <c r="E1" s="1278"/>
      <c r="F1" s="1278"/>
      <c r="G1" s="137"/>
    </row>
    <row r="2" spans="1:7" ht="12.75">
      <c r="A2" s="137" t="s">
        <v>680</v>
      </c>
      <c r="B2" s="137"/>
      <c r="C2" s="1278" t="s">
        <v>681</v>
      </c>
      <c r="D2" s="1278"/>
      <c r="E2" s="1278"/>
      <c r="F2" s="1278"/>
      <c r="G2" s="1278"/>
    </row>
    <row r="3" spans="1:7" ht="22.5" customHeight="1">
      <c r="A3" s="137"/>
      <c r="B3" s="137" t="s">
        <v>682</v>
      </c>
      <c r="C3" s="137" t="s">
        <v>683</v>
      </c>
      <c r="D3" s="137"/>
      <c r="E3" s="1278" t="s">
        <v>684</v>
      </c>
      <c r="F3" s="1278"/>
      <c r="G3" s="1278"/>
    </row>
    <row r="4" spans="1:7" ht="12.75">
      <c r="A4" s="137" t="s">
        <v>685</v>
      </c>
      <c r="B4" s="173" t="s">
        <v>1481</v>
      </c>
      <c r="C4" s="137"/>
      <c r="D4" s="137" t="s">
        <v>686</v>
      </c>
      <c r="E4" s="137"/>
      <c r="F4" s="436" t="s">
        <v>1278</v>
      </c>
      <c r="G4" s="137"/>
    </row>
    <row r="6" spans="1:7" ht="18">
      <c r="A6" s="1279" t="s">
        <v>688</v>
      </c>
      <c r="B6" s="1279"/>
      <c r="C6" s="1279"/>
      <c r="D6" s="1279"/>
      <c r="E6" s="1279"/>
      <c r="F6" s="1279"/>
      <c r="G6" s="1279"/>
    </row>
    <row r="7" spans="1:7" ht="18">
      <c r="A7" s="1279" t="s">
        <v>1480</v>
      </c>
      <c r="B7" s="1279"/>
      <c r="C7" s="1279"/>
      <c r="D7" s="1279"/>
      <c r="E7" s="1279"/>
      <c r="F7" s="1279"/>
      <c r="G7" s="1279"/>
    </row>
    <row r="8" spans="1:7" ht="10.5" customHeight="1">
      <c r="A8" s="437"/>
      <c r="B8" s="437"/>
      <c r="C8" s="437"/>
      <c r="D8" s="437"/>
      <c r="E8" s="437"/>
      <c r="F8" s="437"/>
      <c r="G8" s="437"/>
    </row>
    <row r="9" spans="1:6" ht="13.5" thickBot="1">
      <c r="A9" s="279"/>
      <c r="B9" s="279"/>
      <c r="F9" s="137" t="s">
        <v>264</v>
      </c>
    </row>
    <row r="10" spans="1:7" ht="12.75">
      <c r="A10" s="1280" t="s">
        <v>689</v>
      </c>
      <c r="B10" s="1282" t="s">
        <v>690</v>
      </c>
      <c r="C10" s="1284" t="s">
        <v>691</v>
      </c>
      <c r="D10" s="1285" t="s">
        <v>692</v>
      </c>
      <c r="E10" s="1286"/>
      <c r="F10" s="1286"/>
      <c r="G10" s="1287"/>
    </row>
    <row r="11" spans="1:7" ht="13.5" thickBot="1">
      <c r="A11" s="1281"/>
      <c r="B11" s="1283"/>
      <c r="C11" s="1271"/>
      <c r="D11" s="438" t="s">
        <v>282</v>
      </c>
      <c r="E11" s="438" t="s">
        <v>283</v>
      </c>
      <c r="F11" s="438" t="s">
        <v>284</v>
      </c>
      <c r="G11" s="439" t="s">
        <v>285</v>
      </c>
    </row>
    <row r="12" spans="1:7" ht="41.25" customHeight="1">
      <c r="A12" s="440" t="s">
        <v>693</v>
      </c>
      <c r="B12" s="441" t="s">
        <v>694</v>
      </c>
      <c r="C12" s="442">
        <v>2300</v>
      </c>
      <c r="D12" s="442">
        <v>500</v>
      </c>
      <c r="E12" s="442">
        <v>1800</v>
      </c>
      <c r="F12" s="442"/>
      <c r="G12" s="443"/>
    </row>
    <row r="13" spans="1:7" ht="80.25" customHeight="1">
      <c r="A13" s="444" t="s">
        <v>695</v>
      </c>
      <c r="B13" s="445" t="s">
        <v>696</v>
      </c>
      <c r="C13" s="446"/>
      <c r="D13" s="446"/>
      <c r="E13" s="446"/>
      <c r="F13" s="446"/>
      <c r="G13" s="447"/>
    </row>
    <row r="14" spans="1:7" ht="15.75" customHeight="1">
      <c r="A14" s="307"/>
      <c r="B14" s="448" t="s">
        <v>71</v>
      </c>
      <c r="C14" s="449"/>
      <c r="D14" s="449"/>
      <c r="E14" s="449"/>
      <c r="F14" s="449"/>
      <c r="G14" s="450"/>
    </row>
    <row r="15" spans="1:7" ht="42.75" customHeight="1">
      <c r="A15" s="307"/>
      <c r="B15" s="448" t="s">
        <v>1479</v>
      </c>
      <c r="C15" s="449"/>
      <c r="D15" s="449"/>
      <c r="E15" s="449"/>
      <c r="F15" s="449"/>
      <c r="G15" s="450"/>
    </row>
    <row r="16" spans="1:7" ht="42" customHeight="1">
      <c r="A16" s="444" t="s">
        <v>697</v>
      </c>
      <c r="B16" s="445" t="s">
        <v>698</v>
      </c>
      <c r="C16" s="446">
        <f>C17</f>
        <v>7675</v>
      </c>
      <c r="D16" s="446">
        <f>D17</f>
        <v>7675</v>
      </c>
      <c r="E16" s="446">
        <f>E17</f>
        <v>0</v>
      </c>
      <c r="F16" s="446">
        <f>F17</f>
        <v>0</v>
      </c>
      <c r="G16" s="447">
        <f>G17</f>
        <v>0</v>
      </c>
    </row>
    <row r="17" spans="1:7" ht="18.75" customHeight="1">
      <c r="A17" s="444"/>
      <c r="B17" s="451" t="s">
        <v>699</v>
      </c>
      <c r="C17" s="304">
        <v>7675</v>
      </c>
      <c r="D17" s="452">
        <v>7675</v>
      </c>
      <c r="E17" s="452"/>
      <c r="F17" s="452"/>
      <c r="G17" s="453"/>
    </row>
    <row r="18" spans="1:7" ht="32.25" customHeight="1">
      <c r="A18" s="454" t="s">
        <v>700</v>
      </c>
      <c r="B18" s="445" t="s">
        <v>701</v>
      </c>
      <c r="C18" s="455">
        <f>C19+C20+C21</f>
        <v>21725</v>
      </c>
      <c r="D18" s="455">
        <f>D19+D20+D21</f>
        <v>10538</v>
      </c>
      <c r="E18" s="455">
        <f>E19+E20+E21</f>
        <v>3729</v>
      </c>
      <c r="F18" s="455">
        <f>F19+F20+F21</f>
        <v>3729</v>
      </c>
      <c r="G18" s="456">
        <f>G19+G20+G21</f>
        <v>3729</v>
      </c>
    </row>
    <row r="19" spans="1:7" ht="57" customHeight="1">
      <c r="A19" s="307"/>
      <c r="B19" s="448" t="s">
        <v>702</v>
      </c>
      <c r="C19" s="449">
        <v>8400</v>
      </c>
      <c r="D19" s="449">
        <v>2100</v>
      </c>
      <c r="E19" s="449">
        <v>2100</v>
      </c>
      <c r="F19" s="449">
        <v>2100</v>
      </c>
      <c r="G19" s="450">
        <v>2100</v>
      </c>
    </row>
    <row r="20" spans="1:7" ht="28.5" customHeight="1">
      <c r="A20" s="307"/>
      <c r="B20" s="448" t="s">
        <v>703</v>
      </c>
      <c r="C20" s="449">
        <v>6516</v>
      </c>
      <c r="D20" s="449">
        <v>1629</v>
      </c>
      <c r="E20" s="449">
        <v>1629</v>
      </c>
      <c r="F20" s="449">
        <v>1629</v>
      </c>
      <c r="G20" s="450">
        <v>1629</v>
      </c>
    </row>
    <row r="21" spans="1:7" ht="26.25" customHeight="1">
      <c r="A21" s="307"/>
      <c r="B21" s="448" t="s">
        <v>704</v>
      </c>
      <c r="C21" s="449">
        <v>6809</v>
      </c>
      <c r="D21" s="449">
        <v>6809</v>
      </c>
      <c r="E21" s="449"/>
      <c r="F21" s="449"/>
      <c r="G21" s="450"/>
    </row>
    <row r="22" spans="1:7" ht="12.75">
      <c r="A22" s="457" t="s">
        <v>705</v>
      </c>
      <c r="B22" s="458" t="s">
        <v>706</v>
      </c>
      <c r="C22" s="459">
        <f>C18+C16+C13</f>
        <v>29400</v>
      </c>
      <c r="D22" s="459">
        <f>D18+D16+D13</f>
        <v>18213</v>
      </c>
      <c r="E22" s="459">
        <f>E18+E16+E13</f>
        <v>3729</v>
      </c>
      <c r="F22" s="459">
        <f>F18+F16+F13</f>
        <v>3729</v>
      </c>
      <c r="G22" s="460">
        <f>G18+G16+G13</f>
        <v>3729</v>
      </c>
    </row>
    <row r="23" spans="1:7" ht="16.5" customHeight="1">
      <c r="A23" s="454"/>
      <c r="B23" s="461" t="s">
        <v>254</v>
      </c>
      <c r="C23" s="446"/>
      <c r="D23" s="446"/>
      <c r="E23" s="446"/>
      <c r="F23" s="446"/>
      <c r="G23" s="447"/>
    </row>
    <row r="24" spans="1:7" ht="30" customHeight="1" thickBot="1">
      <c r="A24" s="462"/>
      <c r="B24" s="463" t="s">
        <v>707</v>
      </c>
      <c r="C24" s="464" t="e">
        <f>C22/C23*100</f>
        <v>#DIV/0!</v>
      </c>
      <c r="D24" s="465"/>
      <c r="E24" s="465"/>
      <c r="F24" s="465"/>
      <c r="G24" s="466"/>
    </row>
    <row r="25" spans="2:4" ht="12.75">
      <c r="B25" s="137"/>
      <c r="C25" s="137"/>
      <c r="D25" s="137"/>
    </row>
    <row r="26" spans="2:5" ht="12.75">
      <c r="B26" s="137" t="s">
        <v>1449</v>
      </c>
      <c r="C26" s="137"/>
      <c r="D26" s="137"/>
      <c r="E26" s="137" t="s">
        <v>1448</v>
      </c>
    </row>
    <row r="27" spans="2:5" ht="12.75">
      <c r="B27" s="137"/>
      <c r="C27" s="137"/>
      <c r="D27" s="137"/>
      <c r="E27" s="137"/>
    </row>
    <row r="28" spans="2:5" ht="12.75">
      <c r="B28" s="137"/>
      <c r="C28" s="137"/>
      <c r="D28" s="137"/>
      <c r="E28" s="137"/>
    </row>
    <row r="29" spans="2:5" ht="12.75">
      <c r="B29" s="137" t="s">
        <v>1112</v>
      </c>
      <c r="C29" s="137"/>
      <c r="D29" s="137"/>
      <c r="E29" s="137" t="s">
        <v>708</v>
      </c>
    </row>
    <row r="30" spans="2:5" ht="12.75">
      <c r="B30" s="137"/>
      <c r="C30" s="137"/>
      <c r="D30" s="137"/>
      <c r="E30" s="137"/>
    </row>
    <row r="31" spans="2:5" ht="12.75">
      <c r="B31" s="137"/>
      <c r="C31" s="137"/>
      <c r="D31" s="137"/>
      <c r="E31" s="137"/>
    </row>
    <row r="32" spans="2:5" ht="12.75">
      <c r="B32" s="137" t="s">
        <v>1114</v>
      </c>
      <c r="C32" s="137"/>
      <c r="D32" s="137"/>
      <c r="E32" s="137" t="s">
        <v>709</v>
      </c>
    </row>
  </sheetData>
  <sheetProtection/>
  <mergeCells count="9">
    <mergeCell ref="D1:F1"/>
    <mergeCell ref="C2:G2"/>
    <mergeCell ref="E3:G3"/>
    <mergeCell ref="A6:G6"/>
    <mergeCell ref="A7:G7"/>
    <mergeCell ref="A10:A11"/>
    <mergeCell ref="B10:B11"/>
    <mergeCell ref="C10:C11"/>
    <mergeCell ref="D10:G10"/>
  </mergeCells>
  <printOptions/>
  <pageMargins left="0.7" right="0.28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J50"/>
  <sheetViews>
    <sheetView zoomScalePageLayoutView="0" workbookViewId="0" topLeftCell="A1">
      <selection activeCell="B45" sqref="A45:J50"/>
    </sheetView>
  </sheetViews>
  <sheetFormatPr defaultColWidth="9.00390625" defaultRowHeight="12.75"/>
  <cols>
    <col min="1" max="1" width="3.75390625" style="0" customWidth="1"/>
    <col min="2" max="2" width="35.00390625" style="0" customWidth="1"/>
    <col min="3" max="3" width="13.375" style="0" customWidth="1"/>
    <col min="4" max="4" width="12.00390625" style="0" customWidth="1"/>
    <col min="5" max="6" width="11.00390625" style="0" customWidth="1"/>
    <col min="7" max="7" width="10.875" style="0" customWidth="1"/>
    <col min="8" max="8" width="11.625" style="0" customWidth="1"/>
  </cols>
  <sheetData>
    <row r="3" spans="1:9" ht="18.75">
      <c r="A3" s="1288" t="s">
        <v>710</v>
      </c>
      <c r="B3" s="1288"/>
      <c r="C3" s="1288"/>
      <c r="D3" s="1288"/>
      <c r="E3" s="1288"/>
      <c r="F3" s="1288"/>
      <c r="G3" s="1288"/>
      <c r="H3" s="1288"/>
      <c r="I3" s="467"/>
    </row>
    <row r="4" spans="1:9" ht="18.75">
      <c r="A4" s="1289" t="s">
        <v>1161</v>
      </c>
      <c r="B4" s="1289"/>
      <c r="C4" s="1289"/>
      <c r="D4" s="1289"/>
      <c r="E4" s="1289"/>
      <c r="F4" s="1289"/>
      <c r="G4" s="1289"/>
      <c r="H4" s="1289"/>
      <c r="I4" s="469"/>
    </row>
    <row r="5" spans="1:9" ht="19.5" thickBot="1">
      <c r="A5" s="468"/>
      <c r="B5" s="468"/>
      <c r="C5" s="468"/>
      <c r="D5" s="468"/>
      <c r="E5" s="468"/>
      <c r="F5" s="468"/>
      <c r="G5" s="468"/>
      <c r="H5" s="470" t="s">
        <v>459</v>
      </c>
      <c r="I5" s="469"/>
    </row>
    <row r="6" spans="1:10" ht="12.75" customHeight="1">
      <c r="A6" s="1290" t="s">
        <v>711</v>
      </c>
      <c r="B6" s="1293" t="s">
        <v>712</v>
      </c>
      <c r="C6" s="1296" t="s">
        <v>1452</v>
      </c>
      <c r="D6" s="1299" t="s">
        <v>1159</v>
      </c>
      <c r="E6" s="1302" t="s">
        <v>692</v>
      </c>
      <c r="F6" s="1302"/>
      <c r="G6" s="1302"/>
      <c r="H6" s="1303"/>
      <c r="I6" s="471"/>
      <c r="J6" s="172"/>
    </row>
    <row r="7" spans="1:10" ht="12.75">
      <c r="A7" s="1291"/>
      <c r="B7" s="1294"/>
      <c r="C7" s="1297"/>
      <c r="D7" s="1300"/>
      <c r="E7" s="1300" t="s">
        <v>282</v>
      </c>
      <c r="F7" s="1300" t="s">
        <v>283</v>
      </c>
      <c r="G7" s="1300" t="s">
        <v>284</v>
      </c>
      <c r="H7" s="1304" t="s">
        <v>285</v>
      </c>
      <c r="I7" s="172"/>
      <c r="J7" s="172"/>
    </row>
    <row r="8" spans="1:10" ht="13.5" thickBot="1">
      <c r="A8" s="1292"/>
      <c r="B8" s="1295"/>
      <c r="C8" s="1298"/>
      <c r="D8" s="1301"/>
      <c r="E8" s="1301"/>
      <c r="F8" s="1301"/>
      <c r="G8" s="1301"/>
      <c r="H8" s="1305"/>
      <c r="I8" s="172"/>
      <c r="J8" s="172"/>
    </row>
    <row r="9" spans="1:10" ht="12.75">
      <c r="A9" s="794"/>
      <c r="B9" s="795"/>
      <c r="C9" s="999"/>
      <c r="D9" s="1000"/>
      <c r="E9" s="1000"/>
      <c r="F9" s="1000"/>
      <c r="G9" s="1000"/>
      <c r="H9" s="1001"/>
      <c r="I9" s="471"/>
      <c r="J9" s="172"/>
    </row>
    <row r="10" spans="1:10" ht="12.75">
      <c r="A10" s="794">
        <v>1</v>
      </c>
      <c r="B10" s="796" t="s">
        <v>713</v>
      </c>
      <c r="C10" s="1002">
        <f aca="true" t="shared" si="0" ref="C10:H10">C13+C14+C15+C16</f>
        <v>3270642.1866700007</v>
      </c>
      <c r="D10" s="1003">
        <f t="shared" si="0"/>
        <v>3343916.588</v>
      </c>
      <c r="E10" s="1003">
        <f t="shared" si="0"/>
        <v>835979.147</v>
      </c>
      <c r="F10" s="1003">
        <f t="shared" si="0"/>
        <v>835979.147</v>
      </c>
      <c r="G10" s="1003">
        <f t="shared" si="0"/>
        <v>835979.147</v>
      </c>
      <c r="H10" s="1004">
        <f t="shared" si="0"/>
        <v>835979.147</v>
      </c>
      <c r="I10" s="474"/>
      <c r="J10" s="172"/>
    </row>
    <row r="11" spans="1:10" ht="12.75">
      <c r="A11" s="794"/>
      <c r="B11" s="797" t="s">
        <v>714</v>
      </c>
      <c r="C11" s="1005"/>
      <c r="D11" s="1006"/>
      <c r="E11" s="1006"/>
      <c r="F11" s="1006"/>
      <c r="G11" s="1006"/>
      <c r="H11" s="1007"/>
      <c r="I11" s="474"/>
      <c r="J11" s="172"/>
    </row>
    <row r="12" spans="1:10" ht="12.75">
      <c r="A12" s="794"/>
      <c r="B12" s="797" t="s">
        <v>715</v>
      </c>
      <c r="C12" s="1008"/>
      <c r="D12" s="1006"/>
      <c r="E12" s="1006"/>
      <c r="F12" s="1006"/>
      <c r="G12" s="1006"/>
      <c r="H12" s="1007"/>
      <c r="I12" s="474"/>
      <c r="J12" s="172"/>
    </row>
    <row r="13" spans="1:10" ht="24" customHeight="1">
      <c r="A13" s="794"/>
      <c r="B13" s="798" t="s">
        <v>1160</v>
      </c>
      <c r="C13" s="1009">
        <v>752258.43</v>
      </c>
      <c r="D13" s="1010">
        <f>69053.985*12</f>
        <v>828647.8200000001</v>
      </c>
      <c r="E13" s="1010">
        <f>69053.985*3</f>
        <v>207161.95500000002</v>
      </c>
      <c r="F13" s="1010">
        <f>69053.985*3</f>
        <v>207161.95500000002</v>
      </c>
      <c r="G13" s="1010">
        <f>69053.985*3</f>
        <v>207161.95500000002</v>
      </c>
      <c r="H13" s="1011">
        <f>69053.985*3</f>
        <v>207161.95500000002</v>
      </c>
      <c r="I13" s="474"/>
      <c r="J13" s="172"/>
    </row>
    <row r="14" spans="1:10" ht="18.75" customHeight="1">
      <c r="A14" s="794"/>
      <c r="B14" s="799" t="s">
        <v>716</v>
      </c>
      <c r="C14" s="1012">
        <v>12595.935</v>
      </c>
      <c r="D14" s="1010">
        <f>1162.414*12</f>
        <v>13948.968</v>
      </c>
      <c r="E14" s="1010">
        <f>1162.414*3</f>
        <v>3487.242</v>
      </c>
      <c r="F14" s="1010">
        <f>1162.414*3</f>
        <v>3487.242</v>
      </c>
      <c r="G14" s="1010">
        <f>1162.414*3</f>
        <v>3487.242</v>
      </c>
      <c r="H14" s="1011">
        <f>1162.414*3</f>
        <v>3487.242</v>
      </c>
      <c r="I14" s="474"/>
      <c r="J14" s="172"/>
    </row>
    <row r="15" spans="1:10" ht="17.25" customHeight="1">
      <c r="A15" s="794"/>
      <c r="B15" s="799" t="s">
        <v>717</v>
      </c>
      <c r="C15" s="1012">
        <v>1369064.29637</v>
      </c>
      <c r="D15" s="1010">
        <v>1236628.2</v>
      </c>
      <c r="E15" s="1010">
        <f>D15/4</f>
        <v>309157.05</v>
      </c>
      <c r="F15" s="1010">
        <f>D15/4</f>
        <v>309157.05</v>
      </c>
      <c r="G15" s="1010">
        <f>D15/4</f>
        <v>309157.05</v>
      </c>
      <c r="H15" s="1011">
        <f>D15/4</f>
        <v>309157.05</v>
      </c>
      <c r="I15" s="474"/>
      <c r="J15" s="172"/>
    </row>
    <row r="16" spans="1:10" ht="12.75">
      <c r="A16" s="794"/>
      <c r="B16" s="799" t="s">
        <v>718</v>
      </c>
      <c r="C16" s="1012">
        <v>1136723.5253</v>
      </c>
      <c r="D16" s="1010">
        <v>1264691.6</v>
      </c>
      <c r="E16" s="1010">
        <f>D16/4</f>
        <v>316172.9</v>
      </c>
      <c r="F16" s="1010">
        <f>D16/4</f>
        <v>316172.9</v>
      </c>
      <c r="G16" s="1010">
        <f>D16/4</f>
        <v>316172.9</v>
      </c>
      <c r="H16" s="1011">
        <f>D16/4</f>
        <v>316172.9</v>
      </c>
      <c r="I16" s="474"/>
      <c r="J16" s="172"/>
    </row>
    <row r="17" spans="1:10" ht="12.75">
      <c r="A17" s="794"/>
      <c r="B17" s="800"/>
      <c r="C17" s="1012"/>
      <c r="D17" s="1006"/>
      <c r="E17" s="1006"/>
      <c r="F17" s="1006"/>
      <c r="G17" s="1006"/>
      <c r="H17" s="1007"/>
      <c r="I17" s="474"/>
      <c r="J17" s="172"/>
    </row>
    <row r="18" spans="1:10" ht="12.75">
      <c r="A18" s="794">
        <v>2</v>
      </c>
      <c r="B18" s="796" t="s">
        <v>719</v>
      </c>
      <c r="C18" s="1005">
        <v>783904.70242</v>
      </c>
      <c r="D18" s="1010">
        <v>1060326</v>
      </c>
      <c r="E18" s="1010">
        <f>D18/4</f>
        <v>265081.5</v>
      </c>
      <c r="F18" s="1010">
        <v>265081.5</v>
      </c>
      <c r="G18" s="1010">
        <v>265081.5</v>
      </c>
      <c r="H18" s="1011">
        <v>265081.5</v>
      </c>
      <c r="I18" s="474"/>
      <c r="J18" s="172"/>
    </row>
    <row r="19" spans="1:10" ht="12.75">
      <c r="A19" s="794"/>
      <c r="B19" s="796" t="s">
        <v>720</v>
      </c>
      <c r="C19" s="1005"/>
      <c r="D19" s="1006"/>
      <c r="E19" s="1006"/>
      <c r="F19" s="1006"/>
      <c r="G19" s="1006"/>
      <c r="H19" s="1007"/>
      <c r="I19" s="474"/>
      <c r="J19" s="172"/>
    </row>
    <row r="20" spans="1:10" ht="12.75">
      <c r="A20" s="794"/>
      <c r="B20" s="796"/>
      <c r="C20" s="1005"/>
      <c r="D20" s="1006"/>
      <c r="E20" s="1006"/>
      <c r="F20" s="1006"/>
      <c r="G20" s="1006"/>
      <c r="H20" s="1007"/>
      <c r="I20" s="474"/>
      <c r="J20" s="172"/>
    </row>
    <row r="21" spans="1:10" ht="12.75">
      <c r="A21" s="794">
        <v>3</v>
      </c>
      <c r="B21" s="796" t="s">
        <v>721</v>
      </c>
      <c r="C21" s="1005">
        <v>404228.0588</v>
      </c>
      <c r="D21" s="499">
        <v>576371.7</v>
      </c>
      <c r="E21" s="1013">
        <f>D21/4</f>
        <v>144092.925</v>
      </c>
      <c r="F21" s="1013">
        <f>D21/4</f>
        <v>144092.925</v>
      </c>
      <c r="G21" s="1013">
        <f>D21/4</f>
        <v>144092.925</v>
      </c>
      <c r="H21" s="1014">
        <f>D21/4</f>
        <v>144092.925</v>
      </c>
      <c r="I21" s="474"/>
      <c r="J21" s="172"/>
    </row>
    <row r="22" spans="1:10" ht="12.75">
      <c r="A22" s="794"/>
      <c r="B22" s="796" t="s">
        <v>722</v>
      </c>
      <c r="C22" s="1005"/>
      <c r="D22" s="1006"/>
      <c r="E22" s="1006"/>
      <c r="F22" s="1006"/>
      <c r="G22" s="1006"/>
      <c r="H22" s="1007"/>
      <c r="I22" s="474"/>
      <c r="J22" s="172"/>
    </row>
    <row r="23" spans="1:10" ht="12.75">
      <c r="A23" s="794"/>
      <c r="B23" s="796"/>
      <c r="C23" s="1005"/>
      <c r="D23" s="1006"/>
      <c r="E23" s="1006"/>
      <c r="F23" s="1006"/>
      <c r="G23" s="1006"/>
      <c r="H23" s="1007"/>
      <c r="I23" s="474"/>
      <c r="J23" s="172"/>
    </row>
    <row r="24" spans="1:10" ht="12.75">
      <c r="A24" s="794">
        <v>4</v>
      </c>
      <c r="B24" s="796" t="s">
        <v>723</v>
      </c>
      <c r="C24" s="1005">
        <v>9765.43</v>
      </c>
      <c r="D24" s="1010">
        <v>17040</v>
      </c>
      <c r="E24" s="1010">
        <v>4260</v>
      </c>
      <c r="F24" s="1010">
        <v>4260</v>
      </c>
      <c r="G24" s="1010">
        <v>4260</v>
      </c>
      <c r="H24" s="1011">
        <v>4260</v>
      </c>
      <c r="I24" s="474"/>
      <c r="J24" s="172"/>
    </row>
    <row r="25" spans="1:10" ht="12.75">
      <c r="A25" s="794"/>
      <c r="B25" s="796" t="s">
        <v>724</v>
      </c>
      <c r="C25" s="1005"/>
      <c r="D25" s="1006"/>
      <c r="E25" s="1006"/>
      <c r="F25" s="1006"/>
      <c r="G25" s="1006"/>
      <c r="H25" s="1007"/>
      <c r="I25" s="474"/>
      <c r="J25" s="172"/>
    </row>
    <row r="26" spans="1:10" ht="12.75">
      <c r="A26" s="794"/>
      <c r="B26" s="796"/>
      <c r="C26" s="1005"/>
      <c r="D26" s="1006"/>
      <c r="E26" s="1006"/>
      <c r="F26" s="1006"/>
      <c r="G26" s="1006"/>
      <c r="H26" s="1007"/>
      <c r="I26" s="474"/>
      <c r="J26" s="172"/>
    </row>
    <row r="27" spans="1:10" ht="12.75">
      <c r="A27" s="794">
        <v>5</v>
      </c>
      <c r="B27" s="796" t="s">
        <v>725</v>
      </c>
      <c r="C27" s="1005">
        <v>15547.03</v>
      </c>
      <c r="D27" s="1006">
        <v>16700</v>
      </c>
      <c r="E27" s="1010">
        <v>4175</v>
      </c>
      <c r="F27" s="1010">
        <v>4175</v>
      </c>
      <c r="G27" s="1010">
        <v>4175</v>
      </c>
      <c r="H27" s="1011">
        <v>4175</v>
      </c>
      <c r="I27" s="474"/>
      <c r="J27" s="172"/>
    </row>
    <row r="28" spans="1:10" ht="12.75">
      <c r="A28" s="794"/>
      <c r="B28" s="796"/>
      <c r="C28" s="1005"/>
      <c r="D28" s="1006"/>
      <c r="E28" s="1010"/>
      <c r="F28" s="1010"/>
      <c r="G28" s="1010"/>
      <c r="H28" s="1011"/>
      <c r="I28" s="474"/>
      <c r="J28" s="172"/>
    </row>
    <row r="29" spans="1:10" ht="12.75">
      <c r="A29" s="794">
        <v>6</v>
      </c>
      <c r="B29" s="796" t="s">
        <v>726</v>
      </c>
      <c r="C29" s="1005">
        <v>12598.07404</v>
      </c>
      <c r="D29" s="1006">
        <v>15750</v>
      </c>
      <c r="E29" s="1010">
        <v>3937.5</v>
      </c>
      <c r="F29" s="1010">
        <v>3937.5</v>
      </c>
      <c r="G29" s="1010">
        <v>3937.5</v>
      </c>
      <c r="H29" s="1011">
        <v>3937.5</v>
      </c>
      <c r="I29" s="474"/>
      <c r="J29" s="172"/>
    </row>
    <row r="30" spans="1:10" ht="12.75">
      <c r="A30" s="794"/>
      <c r="B30" s="796" t="s">
        <v>727</v>
      </c>
      <c r="C30" s="1005">
        <v>42176.21358</v>
      </c>
      <c r="D30" s="1006">
        <v>47525</v>
      </c>
      <c r="E30" s="1010">
        <f>D30/4</f>
        <v>11881.25</v>
      </c>
      <c r="F30" s="1010">
        <f>D30/4</f>
        <v>11881.25</v>
      </c>
      <c r="G30" s="1010">
        <f>D30/4</f>
        <v>11881.25</v>
      </c>
      <c r="H30" s="1011">
        <f>D30/4</f>
        <v>11881.25</v>
      </c>
      <c r="I30" s="474"/>
      <c r="J30" s="172"/>
    </row>
    <row r="31" spans="1:10" ht="12.75">
      <c r="A31" s="794"/>
      <c r="B31" s="796" t="s">
        <v>728</v>
      </c>
      <c r="C31" s="1005">
        <v>87332.29394</v>
      </c>
      <c r="D31" s="1006">
        <v>189106</v>
      </c>
      <c r="E31" s="1010">
        <v>47276.5</v>
      </c>
      <c r="F31" s="1010">
        <f>D31/4</f>
        <v>47276.5</v>
      </c>
      <c r="G31" s="1010">
        <f>D31/4</f>
        <v>47276.5</v>
      </c>
      <c r="H31" s="1011">
        <f>D31/4</f>
        <v>47276.5</v>
      </c>
      <c r="I31" s="474"/>
      <c r="J31" s="172"/>
    </row>
    <row r="32" spans="1:10" ht="12.75">
      <c r="A32" s="794"/>
      <c r="B32" s="796"/>
      <c r="C32" s="1005"/>
      <c r="D32" s="1006"/>
      <c r="E32" s="1010"/>
      <c r="F32" s="1010"/>
      <c r="G32" s="1010"/>
      <c r="H32" s="1011"/>
      <c r="I32" s="474"/>
      <c r="J32" s="172"/>
    </row>
    <row r="33" spans="1:10" ht="12.75">
      <c r="A33" s="794">
        <v>7</v>
      </c>
      <c r="B33" s="796" t="s">
        <v>729</v>
      </c>
      <c r="C33" s="1005">
        <v>1663.97</v>
      </c>
      <c r="D33" s="1006">
        <v>3240</v>
      </c>
      <c r="E33" s="1010">
        <v>810</v>
      </c>
      <c r="F33" s="1010">
        <v>810</v>
      </c>
      <c r="G33" s="1010">
        <v>810</v>
      </c>
      <c r="H33" s="1011">
        <v>810</v>
      </c>
      <c r="I33" s="474"/>
      <c r="J33" s="172"/>
    </row>
    <row r="34" spans="1:10" ht="12.75">
      <c r="A34" s="794"/>
      <c r="B34" s="796"/>
      <c r="C34" s="1005"/>
      <c r="D34" s="1006"/>
      <c r="E34" s="1010"/>
      <c r="F34" s="1010"/>
      <c r="G34" s="1010"/>
      <c r="H34" s="1011"/>
      <c r="I34" s="474"/>
      <c r="J34" s="172"/>
    </row>
    <row r="35" spans="1:10" ht="12.75">
      <c r="A35" s="794">
        <v>8</v>
      </c>
      <c r="B35" s="797" t="s">
        <v>730</v>
      </c>
      <c r="C35" s="1008">
        <v>6395</v>
      </c>
      <c r="D35" s="1006">
        <v>6395</v>
      </c>
      <c r="E35" s="1010">
        <v>6395</v>
      </c>
      <c r="F35" s="1010"/>
      <c r="G35" s="1010"/>
      <c r="H35" s="1011"/>
      <c r="I35" s="474"/>
      <c r="J35" s="172"/>
    </row>
    <row r="36" spans="1:10" ht="12.75">
      <c r="A36" s="794"/>
      <c r="B36" s="796"/>
      <c r="C36" s="1005"/>
      <c r="D36" s="1006"/>
      <c r="E36" s="1010"/>
      <c r="F36" s="1010"/>
      <c r="G36" s="1010"/>
      <c r="H36" s="1011"/>
      <c r="I36" s="474"/>
      <c r="J36" s="172"/>
    </row>
    <row r="37" spans="1:10" ht="12.75">
      <c r="A37" s="794">
        <v>9</v>
      </c>
      <c r="B37" s="797" t="s">
        <v>731</v>
      </c>
      <c r="C37" s="1005">
        <v>32325.845</v>
      </c>
      <c r="D37" s="1006"/>
      <c r="E37" s="1010"/>
      <c r="F37" s="1010"/>
      <c r="G37" s="1010"/>
      <c r="H37" s="1011"/>
      <c r="I37" s="474"/>
      <c r="J37" s="172"/>
    </row>
    <row r="38" spans="1:10" ht="12.75">
      <c r="A38" s="794"/>
      <c r="B38" s="801"/>
      <c r="C38" s="1015"/>
      <c r="D38" s="1016"/>
      <c r="E38" s="1017"/>
      <c r="F38" s="1017"/>
      <c r="G38" s="1017"/>
      <c r="H38" s="1018"/>
      <c r="I38" s="474"/>
      <c r="J38" s="172"/>
    </row>
    <row r="39" spans="1:10" ht="12.75">
      <c r="A39" s="794">
        <v>10</v>
      </c>
      <c r="B39" s="801" t="s">
        <v>732</v>
      </c>
      <c r="C39" s="1015">
        <v>178</v>
      </c>
      <c r="D39" s="1016">
        <v>240</v>
      </c>
      <c r="E39" s="1017">
        <v>60</v>
      </c>
      <c r="F39" s="1017">
        <v>60</v>
      </c>
      <c r="G39" s="1017">
        <v>60</v>
      </c>
      <c r="H39" s="1018">
        <v>60</v>
      </c>
      <c r="I39" s="474"/>
      <c r="J39" s="172"/>
    </row>
    <row r="40" spans="1:10" ht="12.75">
      <c r="A40" s="794"/>
      <c r="B40" s="801"/>
      <c r="C40" s="1015"/>
      <c r="D40" s="1016"/>
      <c r="E40" s="1017"/>
      <c r="F40" s="1017"/>
      <c r="G40" s="1017"/>
      <c r="H40" s="1018"/>
      <c r="I40" s="474"/>
      <c r="J40" s="172"/>
    </row>
    <row r="41" spans="1:10" ht="12.75">
      <c r="A41" s="794">
        <v>11</v>
      </c>
      <c r="B41" s="801" t="s">
        <v>733</v>
      </c>
      <c r="C41" s="1015">
        <v>2000</v>
      </c>
      <c r="D41" s="1016">
        <v>2000</v>
      </c>
      <c r="E41" s="1016">
        <v>500</v>
      </c>
      <c r="F41" s="1016">
        <v>500</v>
      </c>
      <c r="G41" s="1016">
        <v>500</v>
      </c>
      <c r="H41" s="1019">
        <v>500</v>
      </c>
      <c r="I41" s="474"/>
      <c r="J41" s="172"/>
    </row>
    <row r="42" spans="1:10" ht="13.5" thickBot="1">
      <c r="A42" s="794"/>
      <c r="B42" s="801"/>
      <c r="C42" s="1015"/>
      <c r="D42" s="1016"/>
      <c r="E42" s="1016"/>
      <c r="F42" s="1016"/>
      <c r="G42" s="1016"/>
      <c r="H42" s="1019"/>
      <c r="I42" s="474"/>
      <c r="J42" s="172"/>
    </row>
    <row r="43" spans="1:10" ht="13.5" thickBot="1">
      <c r="A43" s="802">
        <v>12</v>
      </c>
      <c r="B43" s="803" t="s">
        <v>734</v>
      </c>
      <c r="C43" s="1020">
        <f aca="true" t="shared" si="1" ref="C43:H43">SUM(C13:C42)</f>
        <v>4668756.804450001</v>
      </c>
      <c r="D43" s="1020">
        <f t="shared" si="1"/>
        <v>5278610.288</v>
      </c>
      <c r="E43" s="1020">
        <f t="shared" si="1"/>
        <v>1324448.822</v>
      </c>
      <c r="F43" s="1020">
        <f t="shared" si="1"/>
        <v>1318053.822</v>
      </c>
      <c r="G43" s="1020">
        <f t="shared" si="1"/>
        <v>1318053.822</v>
      </c>
      <c r="H43" s="1021">
        <f t="shared" si="1"/>
        <v>1318053.822</v>
      </c>
      <c r="I43" s="474"/>
      <c r="J43" s="172"/>
    </row>
    <row r="44" spans="1:10" ht="12.75">
      <c r="A44" s="477"/>
      <c r="B44" s="478"/>
      <c r="C44" s="478"/>
      <c r="D44" s="478"/>
      <c r="E44" s="479"/>
      <c r="F44" s="480"/>
      <c r="G44" s="480"/>
      <c r="H44" s="480"/>
      <c r="I44" s="480"/>
      <c r="J44" s="172"/>
    </row>
    <row r="45" spans="1:10" ht="15">
      <c r="A45" s="481" t="s">
        <v>1455</v>
      </c>
      <c r="B45" s="481"/>
      <c r="C45" s="481"/>
      <c r="D45" s="481"/>
      <c r="E45" s="481"/>
      <c r="F45" s="481"/>
      <c r="G45" s="481"/>
      <c r="H45" s="481"/>
      <c r="I45" s="481"/>
      <c r="J45" s="481"/>
    </row>
    <row r="46" spans="1:10" ht="15">
      <c r="A46" s="481" t="s">
        <v>736</v>
      </c>
      <c r="B46" s="481"/>
      <c r="C46" s="481"/>
      <c r="D46" s="481"/>
      <c r="E46" s="481"/>
      <c r="F46" s="481"/>
      <c r="G46" s="481"/>
      <c r="H46" s="481"/>
      <c r="I46" s="481"/>
      <c r="J46" s="482"/>
    </row>
    <row r="47" spans="1:10" ht="15">
      <c r="A47" s="482"/>
      <c r="B47" s="482"/>
      <c r="C47" s="482"/>
      <c r="D47" s="482"/>
      <c r="E47" s="482"/>
      <c r="F47" s="482"/>
      <c r="G47" s="482"/>
      <c r="H47" s="482"/>
      <c r="I47" s="482"/>
      <c r="J47" s="482"/>
    </row>
    <row r="48" spans="1:10" ht="15">
      <c r="A48" s="1306" t="s">
        <v>1453</v>
      </c>
      <c r="B48" s="1306"/>
      <c r="C48" s="1306"/>
      <c r="D48" s="1306"/>
      <c r="E48" s="1306"/>
      <c r="F48" s="1306"/>
      <c r="G48" s="1306"/>
      <c r="H48" s="1306"/>
      <c r="I48" s="1306"/>
      <c r="J48" s="1306"/>
    </row>
    <row r="49" spans="1:10" ht="15">
      <c r="A49" s="482"/>
      <c r="B49" s="482"/>
      <c r="C49" s="482"/>
      <c r="D49" s="482"/>
      <c r="E49" s="482"/>
      <c r="F49" s="482"/>
      <c r="G49" s="482"/>
      <c r="H49" s="482"/>
      <c r="I49" s="482"/>
      <c r="J49" s="482"/>
    </row>
    <row r="50" spans="1:10" ht="15">
      <c r="A50" s="1306" t="s">
        <v>1454</v>
      </c>
      <c r="B50" s="1306"/>
      <c r="C50" s="1306"/>
      <c r="D50" s="1306"/>
      <c r="E50" s="1306"/>
      <c r="F50" s="1306"/>
      <c r="G50" s="1306"/>
      <c r="H50" s="1306"/>
      <c r="I50" s="1306"/>
      <c r="J50" s="1306"/>
    </row>
  </sheetData>
  <sheetProtection/>
  <mergeCells count="13">
    <mergeCell ref="H7:H8"/>
    <mergeCell ref="A48:J48"/>
    <mergeCell ref="A50:J50"/>
    <mergeCell ref="A3:H3"/>
    <mergeCell ref="A4:H4"/>
    <mergeCell ref="A6:A8"/>
    <mergeCell ref="B6:B8"/>
    <mergeCell ref="C6:C8"/>
    <mergeCell ref="D6:D8"/>
    <mergeCell ref="E6:H6"/>
    <mergeCell ref="E7:E8"/>
    <mergeCell ref="F7:F8"/>
    <mergeCell ref="G7:G8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71"/>
  <sheetViews>
    <sheetView zoomScalePageLayoutView="0" workbookViewId="0" topLeftCell="A1">
      <selection activeCell="E70" sqref="E70"/>
    </sheetView>
  </sheetViews>
  <sheetFormatPr defaultColWidth="9.00390625" defaultRowHeight="12.75"/>
  <cols>
    <col min="1" max="1" width="5.00390625" style="0" customWidth="1"/>
    <col min="2" max="2" width="26.25390625" style="0" customWidth="1"/>
    <col min="3" max="3" width="10.75390625" style="0" customWidth="1"/>
    <col min="4" max="4" width="7.75390625" style="0" customWidth="1"/>
    <col min="5" max="5" width="21.875" style="0" customWidth="1"/>
    <col min="6" max="6" width="10.875" style="0" customWidth="1"/>
    <col min="7" max="7" width="11.25390625" style="0" customWidth="1"/>
    <col min="8" max="8" width="8.00390625" style="0" customWidth="1"/>
    <col min="9" max="10" width="10.875" style="0" customWidth="1"/>
  </cols>
  <sheetData>
    <row r="1" spans="1:10" ht="15">
      <c r="A1" s="1315" t="s">
        <v>1241</v>
      </c>
      <c r="B1" s="1315"/>
      <c r="C1" s="1315"/>
      <c r="D1" s="1315"/>
      <c r="E1" s="1315"/>
      <c r="F1" s="1315"/>
      <c r="G1" s="1315"/>
      <c r="H1" s="1315"/>
      <c r="I1" s="1315"/>
      <c r="J1" s="1315"/>
    </row>
    <row r="2" spans="1:10" ht="15.75">
      <c r="A2" s="1316" t="s">
        <v>1162</v>
      </c>
      <c r="B2" s="1316"/>
      <c r="C2" s="1316"/>
      <c r="D2" s="1316"/>
      <c r="E2" s="1316"/>
      <c r="F2" s="1316"/>
      <c r="G2" s="1316"/>
      <c r="H2" s="1316"/>
      <c r="I2" s="1316"/>
      <c r="J2" s="1316"/>
    </row>
    <row r="3" spans="2:9" ht="13.5" thickBot="1">
      <c r="B3" t="s">
        <v>1443</v>
      </c>
      <c r="G3" s="137"/>
      <c r="I3" s="137" t="s">
        <v>459</v>
      </c>
    </row>
    <row r="4" spans="1:10" ht="12.75">
      <c r="A4" s="1317" t="s">
        <v>249</v>
      </c>
      <c r="B4" s="1307" t="s">
        <v>251</v>
      </c>
      <c r="C4" s="1307" t="s">
        <v>1163</v>
      </c>
      <c r="D4" s="1307" t="s">
        <v>1240</v>
      </c>
      <c r="E4" s="1307" t="s">
        <v>1164</v>
      </c>
      <c r="F4" s="1307" t="s">
        <v>1165</v>
      </c>
      <c r="G4" s="1307" t="s">
        <v>1166</v>
      </c>
      <c r="H4" s="1307" t="s">
        <v>1167</v>
      </c>
      <c r="I4" s="1309" t="s">
        <v>1168</v>
      </c>
      <c r="J4" s="1311" t="s">
        <v>1169</v>
      </c>
    </row>
    <row r="5" spans="1:10" ht="56.25" customHeight="1" thickBot="1">
      <c r="A5" s="1318"/>
      <c r="B5" s="1308"/>
      <c r="C5" s="1308"/>
      <c r="D5" s="1308"/>
      <c r="E5" s="1308"/>
      <c r="F5" s="1308"/>
      <c r="G5" s="1308"/>
      <c r="H5" s="1308"/>
      <c r="I5" s="1310"/>
      <c r="J5" s="1312"/>
    </row>
    <row r="6" spans="1:10" ht="12.75">
      <c r="A6" s="804">
        <v>1</v>
      </c>
      <c r="B6" s="1022" t="s">
        <v>1170</v>
      </c>
      <c r="C6" s="1023">
        <f>C28</f>
        <v>106379.27836000003</v>
      </c>
      <c r="D6" s="1024">
        <v>98.3</v>
      </c>
      <c r="E6" s="1023">
        <f>E14*0.983</f>
        <v>2253.05373332</v>
      </c>
      <c r="F6" s="1023">
        <f aca="true" t="shared" si="0" ref="F6:F11">C6+E6</f>
        <v>108632.33209332003</v>
      </c>
      <c r="G6" s="1025">
        <f>F6</f>
        <v>108632.33209332003</v>
      </c>
      <c r="H6" s="1023">
        <v>372.78333</v>
      </c>
      <c r="I6" s="1025">
        <f>G6+H6</f>
        <v>109005.11542332004</v>
      </c>
      <c r="J6" s="1081">
        <f>I6*12</f>
        <v>1308061.3850798404</v>
      </c>
    </row>
    <row r="7" spans="1:10" ht="14.25" customHeight="1">
      <c r="A7" s="559"/>
      <c r="B7" s="545" t="s">
        <v>1171</v>
      </c>
      <c r="C7" s="499">
        <f>C6*0.1</f>
        <v>10637.927836000003</v>
      </c>
      <c r="D7" s="1026">
        <v>9.83</v>
      </c>
      <c r="E7" s="499">
        <f>E14*0.0983</f>
        <v>225.305373332</v>
      </c>
      <c r="F7" s="499">
        <f t="shared" si="0"/>
        <v>10863.233209332002</v>
      </c>
      <c r="G7" s="1027">
        <f>F7</f>
        <v>10863.233209332002</v>
      </c>
      <c r="H7" s="499">
        <f>H6*0.1</f>
        <v>37.278332999999996</v>
      </c>
      <c r="I7" s="1030">
        <f aca="true" t="shared" si="1" ref="I7:I14">G7+H7</f>
        <v>10900.511542332002</v>
      </c>
      <c r="J7" s="1082">
        <f aca="true" t="shared" si="2" ref="J7:J14">I7*12</f>
        <v>130806.13850798403</v>
      </c>
    </row>
    <row r="8" spans="1:10" ht="12.75">
      <c r="A8" s="559"/>
      <c r="B8" s="520" t="s">
        <v>1172</v>
      </c>
      <c r="C8" s="499">
        <f>C6*0.1</f>
        <v>10637.927836000003</v>
      </c>
      <c r="D8" s="1026">
        <v>9.83</v>
      </c>
      <c r="E8" s="499">
        <f>E14*0.0983</f>
        <v>225.305373332</v>
      </c>
      <c r="F8" s="499">
        <f t="shared" si="0"/>
        <v>10863.233209332002</v>
      </c>
      <c r="G8" s="1027">
        <f>F8</f>
        <v>10863.233209332002</v>
      </c>
      <c r="H8" s="499">
        <f>H6*0.1</f>
        <v>37.278332999999996</v>
      </c>
      <c r="I8" s="1030">
        <f t="shared" si="1"/>
        <v>10900.511542332002</v>
      </c>
      <c r="J8" s="1082">
        <f t="shared" si="2"/>
        <v>130806.13850798403</v>
      </c>
    </row>
    <row r="9" spans="1:10" ht="12.75">
      <c r="A9" s="559"/>
      <c r="B9" s="520" t="s">
        <v>1263</v>
      </c>
      <c r="C9" s="499">
        <f>C6*0.8</f>
        <v>85103.42268800002</v>
      </c>
      <c r="D9" s="1026">
        <v>78.64</v>
      </c>
      <c r="E9" s="499">
        <f>E14*0.7864</f>
        <v>1802.442986656</v>
      </c>
      <c r="F9" s="499">
        <f t="shared" si="0"/>
        <v>86905.86567465602</v>
      </c>
      <c r="G9" s="1027">
        <f>F9</f>
        <v>86905.86567465602</v>
      </c>
      <c r="H9" s="499">
        <f>H6*0.8</f>
        <v>298.22666399999997</v>
      </c>
      <c r="I9" s="1030">
        <f t="shared" si="1"/>
        <v>87204.09233865602</v>
      </c>
      <c r="J9" s="1082">
        <f t="shared" si="2"/>
        <v>1046449.1080638722</v>
      </c>
    </row>
    <row r="10" spans="1:10" ht="12.75">
      <c r="A10" s="559">
        <v>2</v>
      </c>
      <c r="B10" s="520" t="s">
        <v>1173</v>
      </c>
      <c r="C10" s="1003">
        <v>3.07305</v>
      </c>
      <c r="D10" s="1028">
        <v>1.5</v>
      </c>
      <c r="E10" s="1003">
        <f>E14*0.015</f>
        <v>34.380270599999996</v>
      </c>
      <c r="F10" s="1003">
        <f t="shared" si="0"/>
        <v>37.4533206</v>
      </c>
      <c r="G10" s="1029">
        <f>F10</f>
        <v>37.4533206</v>
      </c>
      <c r="H10" s="499"/>
      <c r="I10" s="1029">
        <f t="shared" si="1"/>
        <v>37.4533206</v>
      </c>
      <c r="J10" s="1082">
        <f t="shared" si="2"/>
        <v>449.4398472</v>
      </c>
    </row>
    <row r="11" spans="1:10" ht="12.75">
      <c r="A11" s="559">
        <f>A10+1</f>
        <v>3</v>
      </c>
      <c r="B11" s="520" t="s">
        <v>1174</v>
      </c>
      <c r="C11" s="1003">
        <v>3005.67897</v>
      </c>
      <c r="D11" s="1028">
        <v>0.2</v>
      </c>
      <c r="E11" s="1003">
        <f>E14*0.002</f>
        <v>4.58403608</v>
      </c>
      <c r="F11" s="1003">
        <f t="shared" si="0"/>
        <v>3010.2630060799997</v>
      </c>
      <c r="G11" s="1030"/>
      <c r="H11" s="499"/>
      <c r="I11" s="1030"/>
      <c r="J11" s="1082"/>
    </row>
    <row r="12" spans="1:10" ht="12.75">
      <c r="A12" s="559"/>
      <c r="B12" s="520" t="s">
        <v>1175</v>
      </c>
      <c r="C12" s="499"/>
      <c r="D12" s="1026"/>
      <c r="E12" s="499"/>
      <c r="F12" s="499"/>
      <c r="G12" s="1029">
        <f>F11/6383*421</f>
        <v>198.54625185017701</v>
      </c>
      <c r="H12" s="499"/>
      <c r="I12" s="1029">
        <f>G12+H12</f>
        <v>198.54625185017701</v>
      </c>
      <c r="J12" s="1082">
        <f t="shared" si="2"/>
        <v>2382.5550222021243</v>
      </c>
    </row>
    <row r="13" spans="1:10" ht="12.75">
      <c r="A13" s="559"/>
      <c r="B13" s="520"/>
      <c r="C13" s="1003"/>
      <c r="D13" s="1026"/>
      <c r="E13" s="499"/>
      <c r="F13" s="1003"/>
      <c r="G13" s="1031"/>
      <c r="H13" s="499"/>
      <c r="I13" s="1030"/>
      <c r="J13" s="1082"/>
    </row>
    <row r="14" spans="1:10" ht="13.5" thickBot="1">
      <c r="A14" s="805"/>
      <c r="B14" s="1032" t="s">
        <v>665</v>
      </c>
      <c r="C14" s="1033">
        <f>C6+C10+C11+C13</f>
        <v>109388.03038000003</v>
      </c>
      <c r="D14" s="1034">
        <f>SUM(D7:D13)</f>
        <v>100</v>
      </c>
      <c r="E14" s="1033">
        <f>F25</f>
        <v>2292.01804</v>
      </c>
      <c r="F14" s="1035">
        <f>C14+E14</f>
        <v>111680.04842000002</v>
      </c>
      <c r="G14" s="1036">
        <f>G6+G10+G12+G13</f>
        <v>108868.33166577021</v>
      </c>
      <c r="H14" s="1035">
        <f>H6</f>
        <v>372.78333</v>
      </c>
      <c r="I14" s="1083">
        <f t="shared" si="1"/>
        <v>109241.11499577021</v>
      </c>
      <c r="J14" s="1084">
        <f t="shared" si="2"/>
        <v>1310893.3799492426</v>
      </c>
    </row>
    <row r="15" spans="1:10" ht="13.5" thickBot="1">
      <c r="A15" s="806"/>
      <c r="B15" s="1313" t="s">
        <v>9</v>
      </c>
      <c r="C15" s="1313"/>
      <c r="D15" s="1313"/>
      <c r="E15" s="1313"/>
      <c r="F15" s="1313"/>
      <c r="G15" s="1314"/>
      <c r="H15" s="818"/>
      <c r="I15" s="819"/>
      <c r="J15" s="819"/>
    </row>
    <row r="16" spans="1:10" ht="12.75">
      <c r="A16" s="807"/>
      <c r="B16" s="1037"/>
      <c r="C16" s="1038" t="s">
        <v>1176</v>
      </c>
      <c r="D16" s="1038"/>
      <c r="E16" s="1039"/>
      <c r="F16" s="1039"/>
      <c r="G16" s="1040"/>
      <c r="H16" s="818"/>
      <c r="I16" s="819"/>
      <c r="J16" s="819"/>
    </row>
    <row r="17" spans="1:10" ht="12.75">
      <c r="A17" s="808"/>
      <c r="B17" s="1041" t="s">
        <v>1177</v>
      </c>
      <c r="C17" s="1042"/>
      <c r="D17" s="1041"/>
      <c r="E17" s="1041" t="s">
        <v>1178</v>
      </c>
      <c r="F17" s="1041"/>
      <c r="G17" s="1043"/>
      <c r="H17" s="819"/>
      <c r="I17" s="819"/>
      <c r="J17" s="819"/>
    </row>
    <row r="18" spans="1:10" ht="12.75">
      <c r="A18" s="808"/>
      <c r="B18" s="1044" t="s">
        <v>1179</v>
      </c>
      <c r="C18" s="1045">
        <f>1473935.47/1000</f>
        <v>1473.93547</v>
      </c>
      <c r="D18" s="1041"/>
      <c r="E18" s="1046" t="s">
        <v>1180</v>
      </c>
      <c r="F18" s="1045">
        <f>126603.84/1000</f>
        <v>126.60383999999999</v>
      </c>
      <c r="G18" s="1047"/>
      <c r="H18" s="819"/>
      <c r="I18" s="819"/>
      <c r="J18" s="819"/>
    </row>
    <row r="19" spans="1:10" ht="12.75">
      <c r="A19" s="808"/>
      <c r="B19" s="1044" t="s">
        <v>1181</v>
      </c>
      <c r="C19" s="1045">
        <f>61915.98/1000</f>
        <v>61.915980000000005</v>
      </c>
      <c r="D19" s="1041"/>
      <c r="E19" s="1046" t="s">
        <v>1182</v>
      </c>
      <c r="F19" s="1045">
        <f>55073.85/1000</f>
        <v>55.07385</v>
      </c>
      <c r="G19" s="1043"/>
      <c r="H19" s="819"/>
      <c r="I19" s="819"/>
      <c r="J19" s="819"/>
    </row>
    <row r="20" spans="1:10" ht="12.75">
      <c r="A20" s="808"/>
      <c r="B20" s="1044"/>
      <c r="C20" s="1045"/>
      <c r="D20" s="1041"/>
      <c r="E20" s="1046" t="s">
        <v>1183</v>
      </c>
      <c r="F20" s="1045"/>
      <c r="G20" s="1043"/>
      <c r="H20" s="819"/>
      <c r="I20" s="819"/>
      <c r="J20" s="819"/>
    </row>
    <row r="21" spans="1:10" ht="12.75">
      <c r="A21" s="808"/>
      <c r="B21" s="1044" t="s">
        <v>1184</v>
      </c>
      <c r="C21" s="1045">
        <f>104469678.2/1000</f>
        <v>104469.67820000001</v>
      </c>
      <c r="D21" s="1041"/>
      <c r="E21" s="1046" t="s">
        <v>1185</v>
      </c>
      <c r="F21" s="1045">
        <f>186415.77/1000</f>
        <v>186.41576999999998</v>
      </c>
      <c r="G21" s="1043"/>
      <c r="H21" s="819"/>
      <c r="I21" s="819"/>
      <c r="J21" s="819"/>
    </row>
    <row r="22" spans="1:10" ht="12.75">
      <c r="A22" s="808"/>
      <c r="B22" s="1044" t="s">
        <v>1186</v>
      </c>
      <c r="C22" s="1045">
        <v>0</v>
      </c>
      <c r="D22" s="1041"/>
      <c r="E22" s="1046" t="s">
        <v>1187</v>
      </c>
      <c r="F22" s="1045">
        <f>1857586.72/1000</f>
        <v>1857.58672</v>
      </c>
      <c r="G22" s="1043"/>
      <c r="H22" s="819"/>
      <c r="I22" s="819"/>
      <c r="J22" s="819"/>
    </row>
    <row r="23" spans="1:10" ht="12.75">
      <c r="A23" s="808"/>
      <c r="B23" s="1044" t="s">
        <v>1188</v>
      </c>
      <c r="C23" s="1045">
        <f>296080.9/1000</f>
        <v>296.08090000000004</v>
      </c>
      <c r="D23" s="1041"/>
      <c r="E23" s="1046" t="s">
        <v>1189</v>
      </c>
      <c r="F23" s="1045">
        <f>3701.46/1000</f>
        <v>3.70146</v>
      </c>
      <c r="G23" s="1043"/>
      <c r="H23" s="819"/>
      <c r="I23" s="819"/>
      <c r="J23" s="819"/>
    </row>
    <row r="24" spans="1:10" ht="12.75">
      <c r="A24" s="809"/>
      <c r="B24" s="1044"/>
      <c r="C24" s="1045"/>
      <c r="D24" s="528"/>
      <c r="E24" s="1046" t="s">
        <v>1190</v>
      </c>
      <c r="F24" s="1045">
        <f>62636.4/1000</f>
        <v>62.6364</v>
      </c>
      <c r="G24" s="1048"/>
      <c r="H24" s="820"/>
      <c r="I24" s="820"/>
      <c r="J24" s="820"/>
    </row>
    <row r="25" spans="1:10" ht="12.75">
      <c r="A25" s="809"/>
      <c r="B25" s="1044" t="s">
        <v>1191</v>
      </c>
      <c r="C25" s="1045">
        <f>48732.01/1000</f>
        <v>48.73201</v>
      </c>
      <c r="D25" s="528"/>
      <c r="E25" s="301" t="s">
        <v>665</v>
      </c>
      <c r="F25" s="1049">
        <f>SUM(F18:F24)</f>
        <v>2292.01804</v>
      </c>
      <c r="G25" s="1050"/>
      <c r="H25" s="820"/>
      <c r="I25" s="820"/>
      <c r="J25" s="820"/>
    </row>
    <row r="26" spans="1:10" ht="12.75">
      <c r="A26" s="809"/>
      <c r="B26" s="1044" t="s">
        <v>1183</v>
      </c>
      <c r="C26" s="1045"/>
      <c r="D26" s="528"/>
      <c r="E26" s="528"/>
      <c r="F26" s="1045"/>
      <c r="G26" s="1048"/>
      <c r="H26" s="820"/>
      <c r="I26" s="820"/>
      <c r="J26" s="820"/>
    </row>
    <row r="27" spans="1:10" ht="12.75">
      <c r="A27" s="809"/>
      <c r="B27" s="1044" t="s">
        <v>1192</v>
      </c>
      <c r="C27" s="1045">
        <f>28935.8/1000</f>
        <v>28.9358</v>
      </c>
      <c r="D27" s="528"/>
      <c r="E27" s="524"/>
      <c r="F27" s="1045"/>
      <c r="G27" s="1048"/>
      <c r="H27" s="820"/>
      <c r="I27" s="820"/>
      <c r="J27" s="820"/>
    </row>
    <row r="28" spans="1:10" ht="12.75">
      <c r="A28" s="809"/>
      <c r="B28" s="1051" t="s">
        <v>665</v>
      </c>
      <c r="C28" s="1049">
        <f>SUM(C18:C27)</f>
        <v>106379.27836000003</v>
      </c>
      <c r="D28" s="528"/>
      <c r="E28" s="524"/>
      <c r="F28" s="1045"/>
      <c r="G28" s="1048"/>
      <c r="H28" s="820"/>
      <c r="I28" s="820"/>
      <c r="J28" s="820"/>
    </row>
    <row r="29" spans="1:10" ht="12.75">
      <c r="A29" s="809"/>
      <c r="B29" s="1044"/>
      <c r="C29" s="1045"/>
      <c r="D29" s="528"/>
      <c r="E29" s="528"/>
      <c r="F29" s="1049"/>
      <c r="G29" s="1048"/>
      <c r="H29" s="820"/>
      <c r="I29" s="820"/>
      <c r="J29" s="820"/>
    </row>
    <row r="30" spans="1:10" ht="12.75">
      <c r="A30" s="809"/>
      <c r="B30" s="1051" t="s">
        <v>1193</v>
      </c>
      <c r="C30" s="1045"/>
      <c r="D30" s="528"/>
      <c r="E30" s="528"/>
      <c r="F30" s="1045"/>
      <c r="G30" s="1048"/>
      <c r="H30" s="820"/>
      <c r="I30" s="820"/>
      <c r="J30" s="820"/>
    </row>
    <row r="31" spans="1:10" ht="12.75">
      <c r="A31" s="809"/>
      <c r="B31" s="1044" t="s">
        <v>1194</v>
      </c>
      <c r="C31" s="1045">
        <f>226124.86/1000</f>
        <v>226.12485999999998</v>
      </c>
      <c r="D31" s="528"/>
      <c r="E31" s="528"/>
      <c r="F31" s="1045"/>
      <c r="G31" s="1048"/>
      <c r="H31" s="820"/>
      <c r="I31" s="820"/>
      <c r="J31" s="820"/>
    </row>
    <row r="32" spans="1:10" ht="12.75">
      <c r="A32" s="809"/>
      <c r="B32" s="1044" t="s">
        <v>1195</v>
      </c>
      <c r="C32" s="1045">
        <f>606429.78/1000</f>
        <v>606.42978</v>
      </c>
      <c r="D32" s="528"/>
      <c r="E32" s="528"/>
      <c r="F32" s="1045"/>
      <c r="G32" s="1048"/>
      <c r="H32" s="820"/>
      <c r="I32" s="820"/>
      <c r="J32" s="820"/>
    </row>
    <row r="33" spans="1:10" ht="12.75">
      <c r="A33" s="809"/>
      <c r="B33" s="1044" t="s">
        <v>1196</v>
      </c>
      <c r="C33" s="1052">
        <f>2953477.98/1000</f>
        <v>2953.47798</v>
      </c>
      <c r="D33" s="528"/>
      <c r="E33" s="528"/>
      <c r="F33" s="1045"/>
      <c r="G33" s="1048"/>
      <c r="H33" s="820"/>
      <c r="I33" s="820"/>
      <c r="J33" s="820"/>
    </row>
    <row r="34" spans="1:10" ht="12.75">
      <c r="A34" s="809"/>
      <c r="B34" s="1044" t="s">
        <v>1197</v>
      </c>
      <c r="C34" s="1045">
        <f>340612.86/1000</f>
        <v>340.61286</v>
      </c>
      <c r="D34" s="528"/>
      <c r="E34" s="528"/>
      <c r="F34" s="1045"/>
      <c r="G34" s="1048"/>
      <c r="H34" s="820"/>
      <c r="I34" s="820"/>
      <c r="J34" s="820"/>
    </row>
    <row r="35" spans="1:10" ht="12.75">
      <c r="A35" s="809"/>
      <c r="B35" s="1051" t="s">
        <v>665</v>
      </c>
      <c r="C35" s="1049">
        <f>SUM(C31:C34)</f>
        <v>4126.64548</v>
      </c>
      <c r="D35" s="528"/>
      <c r="E35" s="528"/>
      <c r="F35" s="1045"/>
      <c r="G35" s="1048"/>
      <c r="H35" s="820"/>
      <c r="I35" s="820"/>
      <c r="J35" s="820"/>
    </row>
    <row r="36" spans="1:10" ht="12.75">
      <c r="A36" s="497"/>
      <c r="B36" s="1051" t="s">
        <v>1198</v>
      </c>
      <c r="C36" s="1045">
        <f>727892.34/1000</f>
        <v>727.89234</v>
      </c>
      <c r="D36" s="524"/>
      <c r="E36" s="524"/>
      <c r="F36" s="1049"/>
      <c r="G36" s="597"/>
      <c r="H36" s="821"/>
      <c r="I36" s="821"/>
      <c r="J36" s="821"/>
    </row>
    <row r="37" spans="1:10" ht="12.75">
      <c r="A37" s="498"/>
      <c r="B37" s="524" t="s">
        <v>1199</v>
      </c>
      <c r="C37" s="1045">
        <f>17539.67/1000</f>
        <v>17.539669999999997</v>
      </c>
      <c r="D37" s="520"/>
      <c r="E37" s="520"/>
      <c r="F37" s="1052"/>
      <c r="G37" s="593"/>
      <c r="H37" s="819"/>
      <c r="I37" s="819"/>
      <c r="J37" s="819"/>
    </row>
    <row r="38" spans="1:10" ht="12.75">
      <c r="A38" s="498"/>
      <c r="B38" s="524" t="s">
        <v>1200</v>
      </c>
      <c r="C38" s="1045">
        <f>1684.05/1000</f>
        <v>1.68405</v>
      </c>
      <c r="D38" s="520"/>
      <c r="E38" s="520"/>
      <c r="F38" s="1052"/>
      <c r="G38" s="593"/>
      <c r="H38" s="819"/>
      <c r="I38" s="819"/>
      <c r="J38" s="819"/>
    </row>
    <row r="39" spans="1:10" ht="12.75">
      <c r="A39" s="498"/>
      <c r="B39" s="524" t="s">
        <v>1201</v>
      </c>
      <c r="C39" s="1045">
        <f>954869.03/1000</f>
        <v>954.8690300000001</v>
      </c>
      <c r="D39" s="520"/>
      <c r="E39" s="520"/>
      <c r="F39" s="1052"/>
      <c r="G39" s="593"/>
      <c r="H39" s="819"/>
      <c r="I39" s="819"/>
      <c r="J39" s="819"/>
    </row>
    <row r="40" spans="1:10" ht="15.75">
      <c r="A40" s="498"/>
      <c r="B40" s="1051" t="s">
        <v>665</v>
      </c>
      <c r="C40" s="1049">
        <f>SUM(C36:C39)</f>
        <v>1701.9850900000001</v>
      </c>
      <c r="D40" s="1053"/>
      <c r="E40" s="1053"/>
      <c r="F40" s="1054"/>
      <c r="G40" s="593"/>
      <c r="H40" s="819"/>
      <c r="I40" s="819"/>
      <c r="J40" s="819"/>
    </row>
    <row r="41" spans="1:10" ht="13.5" thickBot="1">
      <c r="A41" s="498"/>
      <c r="B41" s="520"/>
      <c r="C41" s="1052"/>
      <c r="D41" s="520"/>
      <c r="E41" s="1055"/>
      <c r="F41" s="1056"/>
      <c r="G41" s="1057"/>
      <c r="H41" s="819"/>
      <c r="I41" s="819"/>
      <c r="J41" s="819"/>
    </row>
    <row r="42" spans="1:10" ht="15.75" thickBot="1">
      <c r="A42" s="498"/>
      <c r="B42" s="301" t="s">
        <v>1202</v>
      </c>
      <c r="C42" s="1049">
        <f>C43+C44</f>
        <v>319.39512</v>
      </c>
      <c r="D42" s="1058"/>
      <c r="E42" s="1059" t="s">
        <v>1203</v>
      </c>
      <c r="F42" s="1060" t="s">
        <v>1204</v>
      </c>
      <c r="G42" s="1061" t="s">
        <v>1205</v>
      </c>
      <c r="H42" s="819"/>
      <c r="I42" s="819"/>
      <c r="J42" s="819"/>
    </row>
    <row r="43" spans="1:10" ht="12.75">
      <c r="A43" s="498"/>
      <c r="B43" s="520" t="s">
        <v>1206</v>
      </c>
      <c r="C43" s="1052">
        <v>0</v>
      </c>
      <c r="D43" s="520"/>
      <c r="E43" s="1062" t="s">
        <v>1207</v>
      </c>
      <c r="F43" s="1063">
        <f>F14</f>
        <v>111680.04842000002</v>
      </c>
      <c r="G43" s="1064">
        <f>F43*12</f>
        <v>1340160.5810400003</v>
      </c>
      <c r="H43" s="819"/>
      <c r="I43" s="819"/>
      <c r="J43" s="819"/>
    </row>
    <row r="44" spans="1:10" ht="12.75">
      <c r="A44" s="498"/>
      <c r="B44" s="520" t="s">
        <v>1208</v>
      </c>
      <c r="C44" s="1052">
        <v>319.39512</v>
      </c>
      <c r="D44" s="520"/>
      <c r="E44" s="1046" t="s">
        <v>1209</v>
      </c>
      <c r="F44" s="1065">
        <f>C35</f>
        <v>4126.64548</v>
      </c>
      <c r="G44" s="1064">
        <f aca="true" t="shared" si="3" ref="G44:G57">F44*12</f>
        <v>49519.745760000005</v>
      </c>
      <c r="H44" s="819"/>
      <c r="I44" s="819"/>
      <c r="J44" s="819"/>
    </row>
    <row r="45" spans="1:10" ht="46.5" customHeight="1">
      <c r="A45" s="498"/>
      <c r="B45" s="301" t="s">
        <v>1210</v>
      </c>
      <c r="C45" s="1049">
        <f>C46+C47</f>
        <v>4850.5271</v>
      </c>
      <c r="D45" s="520"/>
      <c r="E45" s="1066" t="s">
        <v>1211</v>
      </c>
      <c r="F45" s="1065">
        <f>C40</f>
        <v>1701.9850900000001</v>
      </c>
      <c r="G45" s="1064">
        <f t="shared" si="3"/>
        <v>20423.82108</v>
      </c>
      <c r="H45" s="819"/>
      <c r="I45" s="819"/>
      <c r="J45" s="819"/>
    </row>
    <row r="46" spans="1:10" ht="12.75">
      <c r="A46" s="498"/>
      <c r="B46" s="520" t="s">
        <v>1212</v>
      </c>
      <c r="C46" s="1052">
        <v>3349.86807</v>
      </c>
      <c r="D46" s="520"/>
      <c r="E46" s="520" t="s">
        <v>1213</v>
      </c>
      <c r="F46" s="1065">
        <f>C42</f>
        <v>319.39512</v>
      </c>
      <c r="G46" s="1064">
        <f t="shared" si="3"/>
        <v>3832.7414400000002</v>
      </c>
      <c r="H46" s="819"/>
      <c r="I46" s="819"/>
      <c r="J46" s="819"/>
    </row>
    <row r="47" spans="1:10" ht="12.75">
      <c r="A47" s="498"/>
      <c r="B47" s="520" t="s">
        <v>1243</v>
      </c>
      <c r="C47" s="1052">
        <v>1500.65903</v>
      </c>
      <c r="D47" s="520"/>
      <c r="E47" s="520" t="s">
        <v>1214</v>
      </c>
      <c r="F47" s="1065">
        <f>C45</f>
        <v>4850.5271</v>
      </c>
      <c r="G47" s="1064">
        <f t="shared" si="3"/>
        <v>58206.32520000001</v>
      </c>
      <c r="H47" s="819"/>
      <c r="I47" s="819"/>
      <c r="J47" s="819"/>
    </row>
    <row r="48" spans="1:10" ht="12.75">
      <c r="A48" s="498"/>
      <c r="B48" s="301" t="s">
        <v>1215</v>
      </c>
      <c r="C48" s="1049">
        <f>C49+C50+C51+C58</f>
        <v>2238.95292</v>
      </c>
      <c r="D48" s="520"/>
      <c r="E48" s="520" t="s">
        <v>1216</v>
      </c>
      <c r="F48" s="1065">
        <f>C48</f>
        <v>2238.95292</v>
      </c>
      <c r="G48" s="1064">
        <f t="shared" si="3"/>
        <v>26867.435040000004</v>
      </c>
      <c r="H48" s="819"/>
      <c r="I48" s="819"/>
      <c r="J48" s="819"/>
    </row>
    <row r="49" spans="1:10" ht="12.75">
      <c r="A49" s="498"/>
      <c r="B49" s="1067" t="s">
        <v>1217</v>
      </c>
      <c r="C49" s="1068">
        <v>9.09962</v>
      </c>
      <c r="D49" s="520"/>
      <c r="E49" s="1067" t="s">
        <v>1218</v>
      </c>
      <c r="F49" s="1065">
        <f>77.67758+2074.41092</f>
        <v>2152.0885</v>
      </c>
      <c r="G49" s="1064">
        <f t="shared" si="3"/>
        <v>25825.061999999998</v>
      </c>
      <c r="H49" s="819"/>
      <c r="I49" s="819"/>
      <c r="J49" s="819"/>
    </row>
    <row r="50" spans="1:10" ht="12.75">
      <c r="A50" s="498"/>
      <c r="B50" s="1069" t="s">
        <v>1219</v>
      </c>
      <c r="C50" s="1068">
        <v>23.88308</v>
      </c>
      <c r="D50" s="520"/>
      <c r="E50" s="1067" t="s">
        <v>1220</v>
      </c>
      <c r="F50" s="1065">
        <v>1366.388</v>
      </c>
      <c r="G50" s="1064">
        <f t="shared" si="3"/>
        <v>16396.656</v>
      </c>
      <c r="H50" s="819"/>
      <c r="I50" s="819"/>
      <c r="J50" s="819"/>
    </row>
    <row r="51" spans="1:10" ht="12.75">
      <c r="A51" s="498"/>
      <c r="B51" s="524" t="s">
        <v>1221</v>
      </c>
      <c r="C51" s="1049">
        <f>C52+C53+C54+C55+C57</f>
        <v>2156.4708</v>
      </c>
      <c r="D51" s="520"/>
      <c r="E51" s="1067" t="s">
        <v>1222</v>
      </c>
      <c r="F51" s="1065">
        <v>34.88913</v>
      </c>
      <c r="G51" s="1064">
        <f t="shared" si="3"/>
        <v>418.66956000000005</v>
      </c>
      <c r="H51" s="819"/>
      <c r="I51" s="819"/>
      <c r="J51" s="819"/>
    </row>
    <row r="52" spans="1:10" ht="12.75">
      <c r="A52" s="498"/>
      <c r="B52" s="1067" t="s">
        <v>1223</v>
      </c>
      <c r="C52" s="1052">
        <v>191.55652</v>
      </c>
      <c r="D52" s="520"/>
      <c r="E52" s="1067" t="s">
        <v>1224</v>
      </c>
      <c r="F52" s="1065">
        <v>411.07041</v>
      </c>
      <c r="G52" s="1064">
        <f t="shared" si="3"/>
        <v>4932.84492</v>
      </c>
      <c r="H52" s="819"/>
      <c r="I52" s="819"/>
      <c r="J52" s="819"/>
    </row>
    <row r="53" spans="1:10" ht="12.75">
      <c r="A53" s="498"/>
      <c r="B53" s="1070" t="s">
        <v>1225</v>
      </c>
      <c r="C53" s="1052"/>
      <c r="D53" s="520"/>
      <c r="E53" s="1067" t="s">
        <v>1226</v>
      </c>
      <c r="F53" s="1065">
        <v>350.85829</v>
      </c>
      <c r="G53" s="1064">
        <f t="shared" si="3"/>
        <v>4210.29948</v>
      </c>
      <c r="H53" s="819"/>
      <c r="I53" s="819"/>
      <c r="J53" s="819"/>
    </row>
    <row r="54" spans="1:10" ht="12.75">
      <c r="A54" s="498"/>
      <c r="B54" s="1070" t="s">
        <v>1227</v>
      </c>
      <c r="C54" s="1052">
        <v>1754.66357</v>
      </c>
      <c r="D54" s="520"/>
      <c r="E54" s="1070" t="s">
        <v>1228</v>
      </c>
      <c r="F54" s="1071">
        <v>95.83406</v>
      </c>
      <c r="G54" s="1064">
        <f t="shared" si="3"/>
        <v>1150.0087199999998</v>
      </c>
      <c r="H54" s="818"/>
      <c r="I54" s="819"/>
      <c r="J54" s="819"/>
    </row>
    <row r="55" spans="1:10" ht="12.75">
      <c r="A55" s="498"/>
      <c r="B55" s="1070" t="s">
        <v>1229</v>
      </c>
      <c r="C55" s="1052">
        <v>196.62087</v>
      </c>
      <c r="D55" s="520"/>
      <c r="E55" s="1067" t="s">
        <v>1230</v>
      </c>
      <c r="F55" s="1072">
        <v>119.319</v>
      </c>
      <c r="G55" s="1064">
        <f t="shared" si="3"/>
        <v>1431.828</v>
      </c>
      <c r="H55" s="818"/>
      <c r="I55" s="819"/>
      <c r="J55" s="819"/>
    </row>
    <row r="56" spans="1:10" ht="12.75">
      <c r="A56" s="498"/>
      <c r="B56" s="1070" t="s">
        <v>1231</v>
      </c>
      <c r="C56" s="1073"/>
      <c r="D56" s="520"/>
      <c r="E56" s="1067" t="s">
        <v>1232</v>
      </c>
      <c r="F56" s="1071">
        <v>125.625</v>
      </c>
      <c r="G56" s="1064">
        <f t="shared" si="3"/>
        <v>1507.5</v>
      </c>
      <c r="H56" s="819"/>
      <c r="I56" s="819"/>
      <c r="J56" s="819"/>
    </row>
    <row r="57" spans="1:10" ht="12.75">
      <c r="A57" s="498"/>
      <c r="B57" s="1074" t="s">
        <v>1233</v>
      </c>
      <c r="C57" s="1052">
        <v>13.62984</v>
      </c>
      <c r="D57" s="520"/>
      <c r="E57" s="524" t="s">
        <v>1234</v>
      </c>
      <c r="F57" s="1075">
        <f>SUM(F43:F56)</f>
        <v>129573.62652000003</v>
      </c>
      <c r="G57" s="1076">
        <f t="shared" si="3"/>
        <v>1554883.5182400004</v>
      </c>
      <c r="H57" s="819"/>
      <c r="I57" s="819"/>
      <c r="J57" s="819"/>
    </row>
    <row r="58" spans="1:10" ht="12.75">
      <c r="A58" s="498"/>
      <c r="B58" s="524" t="s">
        <v>1242</v>
      </c>
      <c r="C58" s="1049">
        <f>C59+C60+C61+C62+C63+C64</f>
        <v>49.49942</v>
      </c>
      <c r="D58" s="520"/>
      <c r="E58" s="1067"/>
      <c r="F58" s="1045"/>
      <c r="G58" s="593"/>
      <c r="H58" s="819"/>
      <c r="I58" s="819"/>
      <c r="J58" s="819"/>
    </row>
    <row r="59" spans="1:10" ht="12.75">
      <c r="A59" s="498"/>
      <c r="B59" s="520" t="s">
        <v>1235</v>
      </c>
      <c r="C59" s="1052"/>
      <c r="D59" s="520"/>
      <c r="E59" s="524"/>
      <c r="F59" s="1049"/>
      <c r="G59" s="593"/>
      <c r="H59" s="819"/>
      <c r="I59" s="819"/>
      <c r="J59" s="819"/>
    </row>
    <row r="60" spans="1:10" ht="12.75">
      <c r="A60" s="498"/>
      <c r="B60" s="520" t="s">
        <v>1236</v>
      </c>
      <c r="C60" s="1052">
        <v>0.50603</v>
      </c>
      <c r="D60" s="520"/>
      <c r="E60" s="520"/>
      <c r="F60" s="1052"/>
      <c r="G60" s="593"/>
      <c r="H60" s="819"/>
      <c r="I60" s="819"/>
      <c r="J60" s="819"/>
    </row>
    <row r="61" spans="1:10" ht="12.75">
      <c r="A61" s="498"/>
      <c r="B61" s="1077" t="s">
        <v>1237</v>
      </c>
      <c r="C61" s="1052"/>
      <c r="D61" s="520"/>
      <c r="E61" s="520"/>
      <c r="F61" s="1052"/>
      <c r="G61" s="593"/>
      <c r="H61" s="819"/>
      <c r="I61" s="819"/>
      <c r="J61" s="819"/>
    </row>
    <row r="62" spans="1:10" ht="12.75">
      <c r="A62" s="498"/>
      <c r="B62" s="520" t="s">
        <v>1238</v>
      </c>
      <c r="C62" s="1052">
        <v>25.97592</v>
      </c>
      <c r="D62" s="520"/>
      <c r="E62" s="524"/>
      <c r="F62" s="1049"/>
      <c r="G62" s="593"/>
      <c r="H62" s="819"/>
      <c r="I62" s="819"/>
      <c r="J62" s="818"/>
    </row>
    <row r="63" spans="1:10" ht="12.75">
      <c r="A63" s="498"/>
      <c r="B63" s="520" t="s">
        <v>1239</v>
      </c>
      <c r="C63" s="1052">
        <v>23.01747</v>
      </c>
      <c r="D63" s="520"/>
      <c r="E63" s="524"/>
      <c r="F63" s="1052"/>
      <c r="G63" s="593"/>
      <c r="H63" s="819"/>
      <c r="I63" s="819"/>
      <c r="J63" s="819"/>
    </row>
    <row r="64" spans="1:10" ht="13.5" thickBot="1">
      <c r="A64" s="810"/>
      <c r="B64" s="1078"/>
      <c r="C64" s="1079"/>
      <c r="D64" s="533"/>
      <c r="E64" s="533"/>
      <c r="F64" s="533"/>
      <c r="G64" s="1080"/>
      <c r="H64" s="819"/>
      <c r="I64" s="819"/>
      <c r="J64" s="819"/>
    </row>
    <row r="66" spans="1:10" ht="15">
      <c r="A66" s="481" t="s">
        <v>1455</v>
      </c>
      <c r="B66" s="481"/>
      <c r="C66" s="481"/>
      <c r="D66" s="481"/>
      <c r="E66" s="481"/>
      <c r="F66" s="481"/>
      <c r="G66" s="481"/>
      <c r="H66" s="481"/>
      <c r="I66" s="481"/>
      <c r="J66" s="481"/>
    </row>
    <row r="67" spans="1:10" ht="15">
      <c r="A67" s="481" t="s">
        <v>736</v>
      </c>
      <c r="B67" s="481"/>
      <c r="C67" s="481"/>
      <c r="D67" s="481"/>
      <c r="E67" s="481"/>
      <c r="F67" s="481"/>
      <c r="G67" s="481"/>
      <c r="H67" s="481"/>
      <c r="I67" s="481"/>
      <c r="J67" s="482"/>
    </row>
    <row r="68" spans="1:10" ht="15">
      <c r="A68" s="482"/>
      <c r="B68" s="482"/>
      <c r="C68" s="482"/>
      <c r="D68" s="482"/>
      <c r="E68" s="482"/>
      <c r="F68" s="482"/>
      <c r="G68" s="482"/>
      <c r="H68" s="482"/>
      <c r="I68" s="482"/>
      <c r="J68" s="482"/>
    </row>
    <row r="69" spans="1:10" ht="15">
      <c r="A69" s="1306" t="s">
        <v>1453</v>
      </c>
      <c r="B69" s="1306"/>
      <c r="C69" s="1306"/>
      <c r="D69" s="1306"/>
      <c r="E69" s="1306"/>
      <c r="F69" s="1306"/>
      <c r="G69" s="1306"/>
      <c r="H69" s="1306"/>
      <c r="I69" s="1306"/>
      <c r="J69" s="1306"/>
    </row>
    <row r="70" spans="1:10" ht="15">
      <c r="A70" s="482"/>
      <c r="B70" s="482"/>
      <c r="C70" s="482"/>
      <c r="D70" s="482"/>
      <c r="E70" s="482"/>
      <c r="F70" s="482"/>
      <c r="G70" s="482"/>
      <c r="H70" s="482"/>
      <c r="I70" s="482"/>
      <c r="J70" s="482"/>
    </row>
    <row r="71" spans="1:10" ht="15">
      <c r="A71" s="1306" t="s">
        <v>1454</v>
      </c>
      <c r="B71" s="1306"/>
      <c r="C71" s="1306"/>
      <c r="D71" s="1306"/>
      <c r="E71" s="1306"/>
      <c r="F71" s="1306"/>
      <c r="G71" s="1306"/>
      <c r="H71" s="1306"/>
      <c r="I71" s="1306"/>
      <c r="J71" s="1306"/>
    </row>
  </sheetData>
  <sheetProtection/>
  <mergeCells count="15"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A69:J69"/>
    <mergeCell ref="A71:J71"/>
    <mergeCell ref="H4:H5"/>
    <mergeCell ref="I4:I5"/>
    <mergeCell ref="J4:J5"/>
    <mergeCell ref="B15:G15"/>
  </mergeCells>
  <printOptions/>
  <pageMargins left="0.35433070866141736" right="0.1968503937007874" top="0.4330708661417323" bottom="0.4330708661417323" header="0.31496062992125984" footer="0.31496062992125984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6"/>
  <sheetViews>
    <sheetView zoomScalePageLayoutView="0" workbookViewId="0" topLeftCell="A1">
      <selection activeCell="A46" sqref="A46:H119"/>
    </sheetView>
  </sheetViews>
  <sheetFormatPr defaultColWidth="9.00390625" defaultRowHeight="12.75"/>
  <cols>
    <col min="1" max="1" width="6.625" style="0" customWidth="1"/>
    <col min="2" max="2" width="40.375" style="0" customWidth="1"/>
    <col min="3" max="3" width="10.875" style="0" customWidth="1"/>
    <col min="9" max="9" width="5.125" style="0" customWidth="1"/>
  </cols>
  <sheetData>
    <row r="1" spans="1:8" ht="15.75">
      <c r="A1" s="1226" t="s">
        <v>762</v>
      </c>
      <c r="B1" s="1226"/>
      <c r="C1" s="1226"/>
      <c r="D1" s="1320"/>
      <c r="E1" s="1320"/>
      <c r="F1" s="1320"/>
      <c r="G1" s="1320"/>
      <c r="H1" s="1320"/>
    </row>
    <row r="2" spans="1:8" ht="15.75">
      <c r="A2" s="1226" t="s">
        <v>763</v>
      </c>
      <c r="B2" s="1226"/>
      <c r="C2" s="1226"/>
      <c r="D2" s="1226"/>
      <c r="E2" s="1226"/>
      <c r="F2" s="1226"/>
      <c r="G2" s="1226"/>
      <c r="H2" s="1226"/>
    </row>
    <row r="3" spans="1:8" ht="15.75">
      <c r="A3" s="1321" t="s">
        <v>1264</v>
      </c>
      <c r="B3" s="1321"/>
      <c r="C3" s="1321"/>
      <c r="D3" s="1321"/>
      <c r="E3" s="1321"/>
      <c r="F3" s="1321"/>
      <c r="G3" s="1321"/>
      <c r="H3" s="1321"/>
    </row>
    <row r="4" spans="1:8" ht="13.5" thickBot="1">
      <c r="A4" s="477"/>
      <c r="B4" s="514" t="s">
        <v>1265</v>
      </c>
      <c r="C4" s="514"/>
      <c r="D4" s="477"/>
      <c r="E4" s="477"/>
      <c r="F4" s="477"/>
      <c r="G4" s="477"/>
      <c r="H4" s="477" t="s">
        <v>459</v>
      </c>
    </row>
    <row r="5" spans="1:9" ht="12.75">
      <c r="A5" s="1322" t="s">
        <v>711</v>
      </c>
      <c r="B5" s="1324" t="s">
        <v>764</v>
      </c>
      <c r="C5" s="1326" t="s">
        <v>1266</v>
      </c>
      <c r="D5" s="1324" t="s">
        <v>1267</v>
      </c>
      <c r="E5" s="1328" t="s">
        <v>765</v>
      </c>
      <c r="F5" s="1328"/>
      <c r="G5" s="1328"/>
      <c r="H5" s="1329"/>
      <c r="I5" s="1330"/>
    </row>
    <row r="6" spans="1:9" ht="30" customHeight="1" thickBot="1">
      <c r="A6" s="1323"/>
      <c r="B6" s="1325"/>
      <c r="C6" s="1327"/>
      <c r="D6" s="1325"/>
      <c r="E6" s="832" t="s">
        <v>282</v>
      </c>
      <c r="F6" s="832" t="s">
        <v>283</v>
      </c>
      <c r="G6" s="832" t="s">
        <v>284</v>
      </c>
      <c r="H6" s="833" t="s">
        <v>285</v>
      </c>
      <c r="I6" s="1330"/>
    </row>
    <row r="7" spans="1:9" ht="12.75">
      <c r="A7" s="515" t="s">
        <v>766</v>
      </c>
      <c r="B7" s="516" t="s">
        <v>767</v>
      </c>
      <c r="C7" s="516"/>
      <c r="D7" s="517"/>
      <c r="E7" s="517"/>
      <c r="F7" s="517"/>
      <c r="G7" s="517"/>
      <c r="H7" s="518"/>
      <c r="I7" s="172"/>
    </row>
    <row r="8" spans="1:9" ht="12.75">
      <c r="A8" s="519"/>
      <c r="B8" s="520" t="s">
        <v>768</v>
      </c>
      <c r="C8" s="520"/>
      <c r="D8" s="791"/>
      <c r="E8" s="521"/>
      <c r="F8" s="564"/>
      <c r="G8" s="521"/>
      <c r="H8" s="522"/>
      <c r="I8" s="172"/>
    </row>
    <row r="9" spans="1:9" ht="12.75">
      <c r="A9" s="523" t="s">
        <v>769</v>
      </c>
      <c r="B9" s="524" t="s">
        <v>256</v>
      </c>
      <c r="C9" s="524"/>
      <c r="D9" s="525"/>
      <c r="E9" s="525"/>
      <c r="F9" s="525"/>
      <c r="G9" s="525"/>
      <c r="H9" s="526"/>
      <c r="I9" s="172"/>
    </row>
    <row r="10" spans="1:9" ht="12.75">
      <c r="A10" s="527" t="s">
        <v>770</v>
      </c>
      <c r="B10" s="528" t="s">
        <v>771</v>
      </c>
      <c r="C10" s="529">
        <v>102667.3201</v>
      </c>
      <c r="D10" s="529">
        <f>E10+F10+G10+H10</f>
        <v>99401.61600000001</v>
      </c>
      <c r="E10" s="521">
        <f>8283.468*3</f>
        <v>24850.404000000002</v>
      </c>
      <c r="F10" s="521">
        <f>8283.468*3</f>
        <v>24850.404000000002</v>
      </c>
      <c r="G10" s="521">
        <f>8283.468*3</f>
        <v>24850.404000000002</v>
      </c>
      <c r="H10" s="522">
        <f>8283.468*3</f>
        <v>24850.404000000002</v>
      </c>
      <c r="I10" s="530">
        <f>D10-E10-F10-G10-H10</f>
        <v>0</v>
      </c>
    </row>
    <row r="11" spans="1:9" ht="12.75">
      <c r="A11" s="527" t="s">
        <v>772</v>
      </c>
      <c r="B11" s="520" t="s">
        <v>773</v>
      </c>
      <c r="C11" s="521">
        <v>25666.83011</v>
      </c>
      <c r="D11" s="529">
        <f>E11+F11+G11+H11</f>
        <v>24850.404000000002</v>
      </c>
      <c r="E11" s="529">
        <f>E10*0.25</f>
        <v>6212.601000000001</v>
      </c>
      <c r="F11" s="529">
        <f>F10*0.25</f>
        <v>6212.601000000001</v>
      </c>
      <c r="G11" s="529">
        <f>G10*0.25</f>
        <v>6212.601000000001</v>
      </c>
      <c r="H11" s="531">
        <f>H10*0.25</f>
        <v>6212.601000000001</v>
      </c>
      <c r="I11" s="530">
        <f aca="true" t="shared" si="0" ref="I11:I74">D11-E11-F11-G11-H11</f>
        <v>0</v>
      </c>
    </row>
    <row r="12" spans="1:9" ht="12.75">
      <c r="A12" s="527" t="s">
        <v>774</v>
      </c>
      <c r="B12" s="528" t="s">
        <v>775</v>
      </c>
      <c r="C12" s="529">
        <v>3832.74144</v>
      </c>
      <c r="D12" s="529">
        <f>E12+F12+G12+H12</f>
        <v>3832.7414400000002</v>
      </c>
      <c r="E12" s="529">
        <f>319.39512*3</f>
        <v>958.1853600000001</v>
      </c>
      <c r="F12" s="529">
        <f>319.39512*3</f>
        <v>958.1853600000001</v>
      </c>
      <c r="G12" s="529">
        <f>319.39512*3</f>
        <v>958.1853600000001</v>
      </c>
      <c r="H12" s="531">
        <f>319.39512*3</f>
        <v>958.1853600000001</v>
      </c>
      <c r="I12" s="530">
        <f t="shared" si="0"/>
        <v>0</v>
      </c>
    </row>
    <row r="13" spans="1:9" ht="12.75">
      <c r="A13" s="527" t="s">
        <v>776</v>
      </c>
      <c r="B13" s="528" t="s">
        <v>777</v>
      </c>
      <c r="C13" s="529">
        <v>5596.75046</v>
      </c>
      <c r="D13" s="529">
        <v>6200</v>
      </c>
      <c r="E13" s="529">
        <v>1550</v>
      </c>
      <c r="F13" s="529">
        <v>1550</v>
      </c>
      <c r="G13" s="529">
        <v>1550</v>
      </c>
      <c r="H13" s="531">
        <v>1550</v>
      </c>
      <c r="I13" s="530">
        <f t="shared" si="0"/>
        <v>0</v>
      </c>
    </row>
    <row r="14" spans="1:9" ht="12.75">
      <c r="A14" s="527" t="s">
        <v>778</v>
      </c>
      <c r="B14" s="520" t="s">
        <v>779</v>
      </c>
      <c r="C14" s="521">
        <v>2119.63788</v>
      </c>
      <c r="D14" s="529">
        <v>2340</v>
      </c>
      <c r="E14" s="529">
        <v>585</v>
      </c>
      <c r="F14" s="529">
        <v>585</v>
      </c>
      <c r="G14" s="529">
        <v>585</v>
      </c>
      <c r="H14" s="531">
        <v>585</v>
      </c>
      <c r="I14" s="530">
        <f t="shared" si="0"/>
        <v>0</v>
      </c>
    </row>
    <row r="15" spans="1:9" ht="12.75">
      <c r="A15" s="527" t="s">
        <v>780</v>
      </c>
      <c r="B15" s="520" t="s">
        <v>781</v>
      </c>
      <c r="C15" s="521">
        <v>60</v>
      </c>
      <c r="D15" s="529">
        <v>500</v>
      </c>
      <c r="E15" s="529">
        <f>D15/4</f>
        <v>125</v>
      </c>
      <c r="F15" s="529">
        <v>125</v>
      </c>
      <c r="G15" s="529">
        <v>125</v>
      </c>
      <c r="H15" s="531">
        <v>125</v>
      </c>
      <c r="I15" s="530">
        <f t="shared" si="0"/>
        <v>0</v>
      </c>
    </row>
    <row r="16" spans="1:9" ht="12.75">
      <c r="A16" s="527" t="s">
        <v>782</v>
      </c>
      <c r="B16" s="528" t="s">
        <v>783</v>
      </c>
      <c r="C16" s="529">
        <v>0</v>
      </c>
      <c r="D16" s="529"/>
      <c r="E16" s="529"/>
      <c r="F16" s="529"/>
      <c r="G16" s="529"/>
      <c r="H16" s="531"/>
      <c r="I16" s="530">
        <f t="shared" si="0"/>
        <v>0</v>
      </c>
    </row>
    <row r="17" spans="1:9" ht="12.75">
      <c r="A17" s="527" t="s">
        <v>784</v>
      </c>
      <c r="B17" s="520" t="s">
        <v>785</v>
      </c>
      <c r="C17" s="521">
        <v>0</v>
      </c>
      <c r="D17" s="529"/>
      <c r="E17" s="529"/>
      <c r="F17" s="529"/>
      <c r="G17" s="529"/>
      <c r="H17" s="531"/>
      <c r="I17" s="530">
        <f t="shared" si="0"/>
        <v>0</v>
      </c>
    </row>
    <row r="18" spans="1:9" ht="12.75">
      <c r="A18" s="527" t="s">
        <v>786</v>
      </c>
      <c r="B18" s="528" t="s">
        <v>787</v>
      </c>
      <c r="C18" s="529">
        <v>810.198</v>
      </c>
      <c r="D18" s="529">
        <v>1084</v>
      </c>
      <c r="E18" s="529">
        <v>271</v>
      </c>
      <c r="F18" s="529">
        <v>271</v>
      </c>
      <c r="G18" s="529">
        <v>271</v>
      </c>
      <c r="H18" s="531">
        <v>271</v>
      </c>
      <c r="I18" s="530">
        <f t="shared" si="0"/>
        <v>0</v>
      </c>
    </row>
    <row r="19" spans="1:9" ht="15" customHeight="1">
      <c r="A19" s="527" t="s">
        <v>788</v>
      </c>
      <c r="B19" s="528" t="s">
        <v>789</v>
      </c>
      <c r="C19" s="529">
        <v>5442.15048</v>
      </c>
      <c r="D19" s="529">
        <v>5600</v>
      </c>
      <c r="E19" s="529">
        <v>1400</v>
      </c>
      <c r="F19" s="529">
        <v>1400</v>
      </c>
      <c r="G19" s="529">
        <v>1400</v>
      </c>
      <c r="H19" s="531">
        <v>1400</v>
      </c>
      <c r="I19" s="530">
        <f t="shared" si="0"/>
        <v>0</v>
      </c>
    </row>
    <row r="20" spans="1:9" ht="15" customHeight="1">
      <c r="A20" s="527" t="s">
        <v>790</v>
      </c>
      <c r="B20" s="520" t="s">
        <v>791</v>
      </c>
      <c r="C20" s="521">
        <v>0</v>
      </c>
      <c r="D20" s="529"/>
      <c r="E20" s="529"/>
      <c r="F20" s="529"/>
      <c r="G20" s="529"/>
      <c r="H20" s="531"/>
      <c r="I20" s="530">
        <f t="shared" si="0"/>
        <v>0</v>
      </c>
    </row>
    <row r="21" spans="1:9" ht="15" customHeight="1">
      <c r="A21" s="527" t="s">
        <v>792</v>
      </c>
      <c r="B21" s="528" t="s">
        <v>793</v>
      </c>
      <c r="C21" s="529"/>
      <c r="D21" s="529"/>
      <c r="E21" s="529"/>
      <c r="F21" s="529"/>
      <c r="G21" s="529"/>
      <c r="H21" s="531"/>
      <c r="I21" s="530">
        <f t="shared" si="0"/>
        <v>0</v>
      </c>
    </row>
    <row r="22" spans="1:9" ht="15" customHeight="1">
      <c r="A22" s="527" t="s">
        <v>794</v>
      </c>
      <c r="B22" s="520" t="s">
        <v>795</v>
      </c>
      <c r="C22" s="521">
        <v>4386.00471</v>
      </c>
      <c r="D22" s="529">
        <v>4980</v>
      </c>
      <c r="E22" s="529">
        <v>1245</v>
      </c>
      <c r="F22" s="529">
        <v>1245</v>
      </c>
      <c r="G22" s="529">
        <v>1245</v>
      </c>
      <c r="H22" s="531">
        <v>1245</v>
      </c>
      <c r="I22" s="530">
        <f t="shared" si="0"/>
        <v>0</v>
      </c>
    </row>
    <row r="23" spans="1:9" ht="15.75" customHeight="1" thickBot="1">
      <c r="A23" s="532" t="s">
        <v>796</v>
      </c>
      <c r="B23" s="533" t="s">
        <v>797</v>
      </c>
      <c r="C23" s="822"/>
      <c r="D23" s="534"/>
      <c r="E23" s="534"/>
      <c r="F23" s="534"/>
      <c r="G23" s="534"/>
      <c r="H23" s="535"/>
      <c r="I23" s="530">
        <f t="shared" si="0"/>
        <v>0</v>
      </c>
    </row>
    <row r="24" spans="1:9" ht="20.25" customHeight="1" thickBot="1">
      <c r="A24" s="536"/>
      <c r="B24" s="537" t="s">
        <v>798</v>
      </c>
      <c r="C24" s="538">
        <f aca="true" t="shared" si="1" ref="C24:H24">SUM(C10:C23)</f>
        <v>150581.63318000003</v>
      </c>
      <c r="D24" s="538">
        <f t="shared" si="1"/>
        <v>148788.76144000003</v>
      </c>
      <c r="E24" s="538">
        <f t="shared" si="1"/>
        <v>37197.19036000001</v>
      </c>
      <c r="F24" s="538">
        <f t="shared" si="1"/>
        <v>37197.19036000001</v>
      </c>
      <c r="G24" s="538">
        <f t="shared" si="1"/>
        <v>37197.19036000001</v>
      </c>
      <c r="H24" s="539">
        <f t="shared" si="1"/>
        <v>37197.19036000001</v>
      </c>
      <c r="I24" s="530">
        <f t="shared" si="0"/>
        <v>0</v>
      </c>
    </row>
    <row r="25" spans="1:9" ht="12.75">
      <c r="A25" s="540"/>
      <c r="B25" s="541"/>
      <c r="C25" s="541"/>
      <c r="D25" s="542"/>
      <c r="E25" s="542"/>
      <c r="F25" s="542"/>
      <c r="G25" s="542"/>
      <c r="H25" s="543"/>
      <c r="I25" s="530">
        <f t="shared" si="0"/>
        <v>0</v>
      </c>
    </row>
    <row r="26" spans="1:9" ht="12.75">
      <c r="A26" s="523" t="s">
        <v>799</v>
      </c>
      <c r="B26" s="524" t="s">
        <v>363</v>
      </c>
      <c r="C26" s="524"/>
      <c r="D26" s="529"/>
      <c r="E26" s="529"/>
      <c r="F26" s="529"/>
      <c r="G26" s="529"/>
      <c r="H26" s="531"/>
      <c r="I26" s="530">
        <f t="shared" si="0"/>
        <v>0</v>
      </c>
    </row>
    <row r="27" spans="1:9" ht="12.75">
      <c r="A27" s="544" t="s">
        <v>800</v>
      </c>
      <c r="B27" s="520" t="s">
        <v>801</v>
      </c>
      <c r="C27" s="521">
        <v>1592725.33209</v>
      </c>
      <c r="D27" s="529">
        <f>E27+F27+G27+H27</f>
        <v>1845298.668</v>
      </c>
      <c r="E27" s="529">
        <f>153774.889*3</f>
        <v>461324.667</v>
      </c>
      <c r="F27" s="529">
        <f>153774.889*3</f>
        <v>461324.667</v>
      </c>
      <c r="G27" s="529">
        <f>153774.889*3</f>
        <v>461324.667</v>
      </c>
      <c r="H27" s="531">
        <f>153774.889*3</f>
        <v>461324.667</v>
      </c>
      <c r="I27" s="530">
        <f t="shared" si="0"/>
        <v>0</v>
      </c>
    </row>
    <row r="28" spans="1:9" ht="12.75">
      <c r="A28" s="544" t="s">
        <v>802</v>
      </c>
      <c r="B28" s="520" t="s">
        <v>803</v>
      </c>
      <c r="C28" s="521">
        <v>398181.33304</v>
      </c>
      <c r="D28" s="529">
        <f>D27*0.25</f>
        <v>461324.667</v>
      </c>
      <c r="E28" s="529">
        <f>E27*0.25</f>
        <v>115331.16675</v>
      </c>
      <c r="F28" s="529">
        <f>F27*0.25</f>
        <v>115331.16675</v>
      </c>
      <c r="G28" s="529">
        <f>G27*0.25</f>
        <v>115331.16675</v>
      </c>
      <c r="H28" s="531">
        <f>H27*0.25</f>
        <v>115331.16675</v>
      </c>
      <c r="I28" s="530">
        <f t="shared" si="0"/>
        <v>0</v>
      </c>
    </row>
    <row r="29" spans="1:9" ht="36" customHeight="1">
      <c r="A29" s="544" t="s">
        <v>804</v>
      </c>
      <c r="B29" s="545" t="s">
        <v>805</v>
      </c>
      <c r="C29" s="823">
        <v>225638.21801</v>
      </c>
      <c r="D29" s="529">
        <v>253018</v>
      </c>
      <c r="E29" s="529">
        <v>63254.5</v>
      </c>
      <c r="F29" s="529">
        <v>63254.5</v>
      </c>
      <c r="G29" s="529">
        <v>63254.5</v>
      </c>
      <c r="H29" s="531">
        <v>63254.5</v>
      </c>
      <c r="I29" s="530">
        <f t="shared" si="0"/>
        <v>0</v>
      </c>
    </row>
    <row r="30" spans="1:9" ht="14.25" customHeight="1">
      <c r="A30" s="544" t="s">
        <v>806</v>
      </c>
      <c r="B30" s="545" t="s">
        <v>807</v>
      </c>
      <c r="C30" s="823">
        <v>9490.10805</v>
      </c>
      <c r="D30" s="529">
        <v>1000</v>
      </c>
      <c r="E30" s="529">
        <v>250</v>
      </c>
      <c r="F30" s="529">
        <v>250</v>
      </c>
      <c r="G30" s="529">
        <v>250</v>
      </c>
      <c r="H30" s="531">
        <v>250</v>
      </c>
      <c r="I30" s="530">
        <f t="shared" si="0"/>
        <v>0</v>
      </c>
    </row>
    <row r="31" spans="1:9" ht="29.25" customHeight="1">
      <c r="A31" s="544" t="s">
        <v>808</v>
      </c>
      <c r="B31" s="545" t="s">
        <v>809</v>
      </c>
      <c r="C31" s="823">
        <v>6241.60965</v>
      </c>
      <c r="D31" s="529">
        <v>2000</v>
      </c>
      <c r="E31" s="529">
        <v>500</v>
      </c>
      <c r="F31" s="529">
        <v>500</v>
      </c>
      <c r="G31" s="529">
        <v>500</v>
      </c>
      <c r="H31" s="531">
        <v>500</v>
      </c>
      <c r="I31" s="530">
        <f t="shared" si="0"/>
        <v>0</v>
      </c>
    </row>
    <row r="32" spans="1:9" ht="13.5" customHeight="1">
      <c r="A32" s="544" t="s">
        <v>810</v>
      </c>
      <c r="B32" s="545" t="s">
        <v>811</v>
      </c>
      <c r="C32" s="823">
        <v>4461.90913</v>
      </c>
      <c r="D32" s="529">
        <v>10000</v>
      </c>
      <c r="E32" s="529">
        <v>2500</v>
      </c>
      <c r="F32" s="529">
        <v>2500</v>
      </c>
      <c r="G32" s="529">
        <v>2500</v>
      </c>
      <c r="H32" s="531">
        <v>2500</v>
      </c>
      <c r="I32" s="530">
        <f t="shared" si="0"/>
        <v>0</v>
      </c>
    </row>
    <row r="33" spans="1:9" ht="16.5" customHeight="1">
      <c r="A33" s="544" t="s">
        <v>812</v>
      </c>
      <c r="B33" s="545" t="s">
        <v>813</v>
      </c>
      <c r="C33" s="823">
        <v>240000</v>
      </c>
      <c r="D33" s="529">
        <v>300000</v>
      </c>
      <c r="E33" s="529">
        <v>75000</v>
      </c>
      <c r="F33" s="529">
        <v>75000</v>
      </c>
      <c r="G33" s="529">
        <v>75000</v>
      </c>
      <c r="H33" s="531">
        <v>75000</v>
      </c>
      <c r="I33" s="530">
        <f t="shared" si="0"/>
        <v>0</v>
      </c>
    </row>
    <row r="34" spans="1:9" ht="15.75" customHeight="1">
      <c r="A34" s="544" t="s">
        <v>814</v>
      </c>
      <c r="B34" s="545" t="s">
        <v>815</v>
      </c>
      <c r="C34" s="823">
        <v>23170.50648</v>
      </c>
      <c r="D34" s="529">
        <v>10000</v>
      </c>
      <c r="E34" s="529">
        <v>2500</v>
      </c>
      <c r="F34" s="529">
        <v>2500</v>
      </c>
      <c r="G34" s="529">
        <v>2500</v>
      </c>
      <c r="H34" s="531">
        <v>2500</v>
      </c>
      <c r="I34" s="530">
        <f t="shared" si="0"/>
        <v>0</v>
      </c>
    </row>
    <row r="35" spans="1:9" ht="16.5" customHeight="1">
      <c r="A35" s="544" t="s">
        <v>816</v>
      </c>
      <c r="B35" s="545" t="s">
        <v>817</v>
      </c>
      <c r="C35" s="823">
        <v>1722.828</v>
      </c>
      <c r="D35" s="529">
        <f aca="true" t="shared" si="2" ref="D35:D40">E35+F35+G35+H35</f>
        <v>1000</v>
      </c>
      <c r="E35" s="529">
        <v>250</v>
      </c>
      <c r="F35" s="529">
        <v>250</v>
      </c>
      <c r="G35" s="529">
        <v>250</v>
      </c>
      <c r="H35" s="531">
        <v>250</v>
      </c>
      <c r="I35" s="530">
        <f t="shared" si="0"/>
        <v>0</v>
      </c>
    </row>
    <row r="36" spans="1:9" ht="14.25" customHeight="1">
      <c r="A36" s="544" t="s">
        <v>818</v>
      </c>
      <c r="B36" s="545" t="s">
        <v>819</v>
      </c>
      <c r="C36" s="823">
        <v>8604.8</v>
      </c>
      <c r="D36" s="529">
        <f t="shared" si="2"/>
        <v>10000</v>
      </c>
      <c r="E36" s="529">
        <v>2500</v>
      </c>
      <c r="F36" s="529">
        <v>2500</v>
      </c>
      <c r="G36" s="529">
        <v>2500</v>
      </c>
      <c r="H36" s="531">
        <v>2500</v>
      </c>
      <c r="I36" s="530">
        <f t="shared" si="0"/>
        <v>0</v>
      </c>
    </row>
    <row r="37" spans="1:9" ht="15" customHeight="1">
      <c r="A37" s="544" t="s">
        <v>820</v>
      </c>
      <c r="B37" s="545" t="s">
        <v>821</v>
      </c>
      <c r="C37" s="823">
        <v>18765.77515</v>
      </c>
      <c r="D37" s="529">
        <f>E37+F37+G37+H37</f>
        <v>18007.90836</v>
      </c>
      <c r="E37" s="547">
        <f>1500.65903*3</f>
        <v>4501.97709</v>
      </c>
      <c r="F37" s="547">
        <f>1500.65903*3</f>
        <v>4501.97709</v>
      </c>
      <c r="G37" s="547">
        <f>1500.65903*3</f>
        <v>4501.97709</v>
      </c>
      <c r="H37" s="548">
        <f>1500.65903*3</f>
        <v>4501.97709</v>
      </c>
      <c r="I37" s="530">
        <f t="shared" si="0"/>
        <v>0</v>
      </c>
    </row>
    <row r="38" spans="1:9" ht="15.75" customHeight="1">
      <c r="A38" s="549" t="s">
        <v>822</v>
      </c>
      <c r="B38" s="545" t="s">
        <v>823</v>
      </c>
      <c r="C38" s="823">
        <v>3205.3986</v>
      </c>
      <c r="D38" s="529">
        <f t="shared" si="2"/>
        <v>3200</v>
      </c>
      <c r="E38" s="529">
        <v>800</v>
      </c>
      <c r="F38" s="529">
        <v>800</v>
      </c>
      <c r="G38" s="529">
        <v>800</v>
      </c>
      <c r="H38" s="531">
        <v>800</v>
      </c>
      <c r="I38" s="530">
        <f t="shared" si="0"/>
        <v>0</v>
      </c>
    </row>
    <row r="39" spans="1:9" ht="15" customHeight="1">
      <c r="A39" s="549" t="s">
        <v>824</v>
      </c>
      <c r="B39" s="545" t="s">
        <v>825</v>
      </c>
      <c r="C39" s="823">
        <v>5509</v>
      </c>
      <c r="D39" s="529">
        <f t="shared" si="2"/>
        <v>6600</v>
      </c>
      <c r="E39" s="529">
        <v>1650</v>
      </c>
      <c r="F39" s="529">
        <v>1650</v>
      </c>
      <c r="G39" s="529">
        <v>1650</v>
      </c>
      <c r="H39" s="531">
        <v>1650</v>
      </c>
      <c r="I39" s="530">
        <f t="shared" si="0"/>
        <v>0</v>
      </c>
    </row>
    <row r="40" spans="1:9" ht="14.25" customHeight="1">
      <c r="A40" s="549" t="s">
        <v>826</v>
      </c>
      <c r="B40" s="545" t="s">
        <v>827</v>
      </c>
      <c r="C40" s="823">
        <v>528.77063</v>
      </c>
      <c r="D40" s="529">
        <f t="shared" si="2"/>
        <v>1000</v>
      </c>
      <c r="E40" s="529">
        <v>250</v>
      </c>
      <c r="F40" s="529">
        <v>250</v>
      </c>
      <c r="G40" s="529">
        <v>250</v>
      </c>
      <c r="H40" s="531">
        <v>250</v>
      </c>
      <c r="I40" s="530">
        <f t="shared" si="0"/>
        <v>0</v>
      </c>
    </row>
    <row r="41" spans="1:9" ht="16.5" customHeight="1">
      <c r="A41" s="549" t="s">
        <v>828</v>
      </c>
      <c r="B41" s="545" t="s">
        <v>829</v>
      </c>
      <c r="C41" s="823">
        <v>1153.182</v>
      </c>
      <c r="D41" s="529"/>
      <c r="E41" s="529"/>
      <c r="F41" s="529"/>
      <c r="G41" s="529"/>
      <c r="H41" s="531"/>
      <c r="I41" s="530">
        <f t="shared" si="0"/>
        <v>0</v>
      </c>
    </row>
    <row r="42" spans="1:9" ht="13.5" customHeight="1">
      <c r="A42" s="550" t="s">
        <v>830</v>
      </c>
      <c r="B42" s="551" t="s">
        <v>785</v>
      </c>
      <c r="C42" s="824">
        <v>0</v>
      </c>
      <c r="D42" s="553"/>
      <c r="E42" s="553"/>
      <c r="F42" s="553"/>
      <c r="G42" s="553"/>
      <c r="H42" s="554"/>
      <c r="I42" s="530">
        <f t="shared" si="0"/>
        <v>0</v>
      </c>
    </row>
    <row r="43" spans="1:9" ht="13.5" customHeight="1">
      <c r="A43" s="550" t="s">
        <v>831</v>
      </c>
      <c r="B43" s="551" t="s">
        <v>832</v>
      </c>
      <c r="C43" s="824">
        <v>6792.04224</v>
      </c>
      <c r="D43" s="553">
        <v>8000</v>
      </c>
      <c r="E43" s="553">
        <v>2000</v>
      </c>
      <c r="F43" s="553">
        <v>2000</v>
      </c>
      <c r="G43" s="553">
        <v>2000</v>
      </c>
      <c r="H43" s="554">
        <v>2000</v>
      </c>
      <c r="I43" s="530">
        <f t="shared" si="0"/>
        <v>0</v>
      </c>
    </row>
    <row r="44" spans="1:9" ht="18.75" customHeight="1" thickBot="1">
      <c r="A44" s="555" t="s">
        <v>833</v>
      </c>
      <c r="B44" s="556" t="s">
        <v>834</v>
      </c>
      <c r="C44" s="825">
        <v>76381.081</v>
      </c>
      <c r="D44" s="534"/>
      <c r="E44" s="534"/>
      <c r="F44" s="534"/>
      <c r="G44" s="534"/>
      <c r="H44" s="535"/>
      <c r="I44" s="530">
        <f t="shared" si="0"/>
        <v>0</v>
      </c>
    </row>
    <row r="45" spans="1:9" ht="17.25" customHeight="1" thickBot="1">
      <c r="A45" s="557" t="s">
        <v>799</v>
      </c>
      <c r="B45" s="558" t="s">
        <v>835</v>
      </c>
      <c r="C45" s="574">
        <f aca="true" t="shared" si="3" ref="C45:H45">SUM(C27:C44)</f>
        <v>2622571.8940700004</v>
      </c>
      <c r="D45" s="538">
        <f t="shared" si="3"/>
        <v>2930449.2433599997</v>
      </c>
      <c r="E45" s="538">
        <f t="shared" si="3"/>
        <v>732612.3108399999</v>
      </c>
      <c r="F45" s="538">
        <f t="shared" si="3"/>
        <v>732612.3108399999</v>
      </c>
      <c r="G45" s="538">
        <f t="shared" si="3"/>
        <v>732612.3108399999</v>
      </c>
      <c r="H45" s="539">
        <f t="shared" si="3"/>
        <v>732612.3108399999</v>
      </c>
      <c r="I45" s="530">
        <f t="shared" si="0"/>
        <v>0</v>
      </c>
    </row>
    <row r="46" spans="1:9" ht="17.25" customHeight="1">
      <c r="A46" s="826" t="s">
        <v>836</v>
      </c>
      <c r="B46" s="827" t="s">
        <v>837</v>
      </c>
      <c r="C46" s="827"/>
      <c r="D46" s="542"/>
      <c r="E46" s="828"/>
      <c r="F46" s="828"/>
      <c r="G46" s="542"/>
      <c r="H46" s="829"/>
      <c r="I46" s="530">
        <f t="shared" si="0"/>
        <v>0</v>
      </c>
    </row>
    <row r="47" spans="1:9" ht="37.5" customHeight="1">
      <c r="A47" s="544" t="s">
        <v>838</v>
      </c>
      <c r="B47" s="545" t="s">
        <v>839</v>
      </c>
      <c r="C47" s="546">
        <f>576.591+1153.182</f>
        <v>1729.7730000000001</v>
      </c>
      <c r="D47" s="529">
        <v>17486.8</v>
      </c>
      <c r="E47" s="529">
        <v>4371.7</v>
      </c>
      <c r="F47" s="529">
        <v>4371.7</v>
      </c>
      <c r="G47" s="529">
        <v>4371.7</v>
      </c>
      <c r="H47" s="529">
        <v>4371.7</v>
      </c>
      <c r="I47" s="530">
        <f t="shared" si="0"/>
        <v>0</v>
      </c>
    </row>
    <row r="48" spans="1:9" ht="14.25" customHeight="1">
      <c r="A48" s="544" t="s">
        <v>840</v>
      </c>
      <c r="B48" s="545" t="s">
        <v>841</v>
      </c>
      <c r="C48" s="546">
        <v>39900</v>
      </c>
      <c r="D48" s="529">
        <v>80000</v>
      </c>
      <c r="E48" s="529">
        <f>10000+15000</f>
        <v>25000</v>
      </c>
      <c r="F48" s="529">
        <v>15000</v>
      </c>
      <c r="G48" s="520">
        <v>15000</v>
      </c>
      <c r="H48" s="531">
        <v>25000</v>
      </c>
      <c r="I48" s="530">
        <f t="shared" si="0"/>
        <v>0</v>
      </c>
    </row>
    <row r="49" spans="1:9" ht="52.5" customHeight="1">
      <c r="A49" s="559" t="s">
        <v>842</v>
      </c>
      <c r="B49" s="545" t="s">
        <v>843</v>
      </c>
      <c r="C49" s="546">
        <v>439105.63073</v>
      </c>
      <c r="D49" s="529"/>
      <c r="E49" s="529"/>
      <c r="F49" s="529"/>
      <c r="G49" s="529"/>
      <c r="H49" s="531"/>
      <c r="I49" s="530">
        <f t="shared" si="0"/>
        <v>0</v>
      </c>
    </row>
    <row r="50" spans="1:9" ht="26.25" customHeight="1">
      <c r="A50" s="544" t="s">
        <v>844</v>
      </c>
      <c r="B50" s="545" t="s">
        <v>845</v>
      </c>
      <c r="C50" s="546">
        <v>971134.18561</v>
      </c>
      <c r="D50" s="564">
        <f>1526250</f>
        <v>1526250</v>
      </c>
      <c r="E50" s="564">
        <v>310625</v>
      </c>
      <c r="F50" s="564">
        <v>486250</v>
      </c>
      <c r="G50" s="564">
        <v>243125</v>
      </c>
      <c r="H50" s="565">
        <v>486250</v>
      </c>
      <c r="I50" s="530">
        <f t="shared" si="0"/>
        <v>0</v>
      </c>
    </row>
    <row r="51" spans="1:9" ht="16.5" customHeight="1">
      <c r="A51" s="544" t="s">
        <v>846</v>
      </c>
      <c r="B51" s="545" t="s">
        <v>847</v>
      </c>
      <c r="C51" s="546">
        <v>19693.98139</v>
      </c>
      <c r="D51" s="529">
        <f>1241.165*12*1.25</f>
        <v>18617.475</v>
      </c>
      <c r="E51" s="529">
        <f>1241.185*3*1.25</f>
        <v>4654.443749999999</v>
      </c>
      <c r="F51" s="529">
        <f>1241.185*3*1.25</f>
        <v>4654.443749999999</v>
      </c>
      <c r="G51" s="529">
        <f>1241.185*3*1.25</f>
        <v>4654.443749999999</v>
      </c>
      <c r="H51" s="531">
        <f>1241.185*3*1.25</f>
        <v>4654.443749999999</v>
      </c>
      <c r="I51" s="530">
        <f t="shared" si="0"/>
        <v>-0.2999999999974534</v>
      </c>
    </row>
    <row r="52" spans="1:9" ht="51" customHeight="1">
      <c r="A52" s="544" t="s">
        <v>848</v>
      </c>
      <c r="B52" s="545" t="s">
        <v>849</v>
      </c>
      <c r="C52" s="546"/>
      <c r="D52" s="529"/>
      <c r="E52" s="529"/>
      <c r="F52" s="529"/>
      <c r="G52" s="529"/>
      <c r="H52" s="531"/>
      <c r="I52" s="530">
        <f t="shared" si="0"/>
        <v>0</v>
      </c>
    </row>
    <row r="53" spans="1:9" ht="15.75" customHeight="1">
      <c r="A53" s="544" t="s">
        <v>850</v>
      </c>
      <c r="B53" s="545" t="s">
        <v>851</v>
      </c>
      <c r="C53" s="546"/>
      <c r="D53" s="529"/>
      <c r="E53" s="529"/>
      <c r="F53" s="529"/>
      <c r="G53" s="529"/>
      <c r="H53" s="531"/>
      <c r="I53" s="530">
        <f t="shared" si="0"/>
        <v>0</v>
      </c>
    </row>
    <row r="54" spans="1:9" ht="25.5" customHeight="1">
      <c r="A54" s="544" t="s">
        <v>852</v>
      </c>
      <c r="B54" s="545" t="s">
        <v>853</v>
      </c>
      <c r="C54" s="546">
        <v>181500</v>
      </c>
      <c r="D54" s="529">
        <v>180000</v>
      </c>
      <c r="E54" s="529"/>
      <c r="F54" s="529"/>
      <c r="G54" s="529">
        <v>180000</v>
      </c>
      <c r="H54" s="531"/>
      <c r="I54" s="530">
        <f t="shared" si="0"/>
        <v>0</v>
      </c>
    </row>
    <row r="55" spans="1:9" ht="51.75" customHeight="1">
      <c r="A55" s="544" t="s">
        <v>854</v>
      </c>
      <c r="B55" s="545" t="s">
        <v>855</v>
      </c>
      <c r="C55" s="546">
        <v>27652.2182</v>
      </c>
      <c r="D55" s="529"/>
      <c r="E55" s="529"/>
      <c r="F55" s="529"/>
      <c r="G55" s="529"/>
      <c r="H55" s="531"/>
      <c r="I55" s="530">
        <f t="shared" si="0"/>
        <v>0</v>
      </c>
    </row>
    <row r="56" spans="1:9" ht="40.5" customHeight="1">
      <c r="A56" s="544" t="s">
        <v>856</v>
      </c>
      <c r="B56" s="545" t="s">
        <v>857</v>
      </c>
      <c r="C56" s="546">
        <v>3672.768</v>
      </c>
      <c r="D56" s="529">
        <v>3620</v>
      </c>
      <c r="E56" s="529">
        <v>905</v>
      </c>
      <c r="F56" s="529">
        <v>905</v>
      </c>
      <c r="G56" s="529">
        <v>905</v>
      </c>
      <c r="H56" s="531">
        <v>905</v>
      </c>
      <c r="I56" s="530">
        <f t="shared" si="0"/>
        <v>0</v>
      </c>
    </row>
    <row r="57" spans="1:9" ht="39" customHeight="1">
      <c r="A57" s="544" t="s">
        <v>858</v>
      </c>
      <c r="B57" s="545" t="s">
        <v>859</v>
      </c>
      <c r="C57" s="546"/>
      <c r="D57" s="529"/>
      <c r="E57" s="529"/>
      <c r="F57" s="529"/>
      <c r="G57" s="529"/>
      <c r="H57" s="531"/>
      <c r="I57" s="530">
        <f t="shared" si="0"/>
        <v>0</v>
      </c>
    </row>
    <row r="58" spans="1:9" ht="15.75" customHeight="1">
      <c r="A58" s="544" t="s">
        <v>860</v>
      </c>
      <c r="B58" s="545" t="s">
        <v>861</v>
      </c>
      <c r="C58" s="546">
        <v>3256</v>
      </c>
      <c r="D58" s="529">
        <v>7500</v>
      </c>
      <c r="E58" s="529">
        <v>1875</v>
      </c>
      <c r="F58" s="529">
        <v>1875</v>
      </c>
      <c r="G58" s="529">
        <v>1875</v>
      </c>
      <c r="H58" s="531">
        <v>1875</v>
      </c>
      <c r="I58" s="530">
        <f t="shared" si="0"/>
        <v>0</v>
      </c>
    </row>
    <row r="59" spans="1:9" ht="25.5" customHeight="1">
      <c r="A59" s="544" t="s">
        <v>862</v>
      </c>
      <c r="B59" s="545" t="s">
        <v>863</v>
      </c>
      <c r="C59" s="546">
        <v>25054.185</v>
      </c>
      <c r="D59" s="529">
        <f>E59+F59+G59+H59</f>
        <v>9656.25</v>
      </c>
      <c r="E59" s="529">
        <v>2343.75</v>
      </c>
      <c r="F59" s="529">
        <v>2343.75</v>
      </c>
      <c r="G59" s="529">
        <v>2343.75</v>
      </c>
      <c r="H59" s="531">
        <f>1.12*2343.75</f>
        <v>2625.0000000000005</v>
      </c>
      <c r="I59" s="530">
        <f t="shared" si="0"/>
        <v>0</v>
      </c>
    </row>
    <row r="60" spans="1:9" ht="25.5" customHeight="1">
      <c r="A60" s="544" t="s">
        <v>864</v>
      </c>
      <c r="B60" s="545" t="s">
        <v>865</v>
      </c>
      <c r="C60" s="546"/>
      <c r="D60" s="529"/>
      <c r="E60" s="529"/>
      <c r="F60" s="529"/>
      <c r="G60" s="529"/>
      <c r="H60" s="531"/>
      <c r="I60" s="530">
        <f t="shared" si="0"/>
        <v>0</v>
      </c>
    </row>
    <row r="61" spans="1:9" ht="18.75" customHeight="1">
      <c r="A61" s="544" t="s">
        <v>866</v>
      </c>
      <c r="B61" s="545" t="s">
        <v>867</v>
      </c>
      <c r="C61" s="546">
        <v>10419.2</v>
      </c>
      <c r="D61" s="529">
        <v>12500</v>
      </c>
      <c r="E61" s="529">
        <v>3125</v>
      </c>
      <c r="F61" s="529">
        <v>3125</v>
      </c>
      <c r="G61" s="529">
        <v>3125</v>
      </c>
      <c r="H61" s="531">
        <v>3125</v>
      </c>
      <c r="I61" s="530">
        <f t="shared" si="0"/>
        <v>0</v>
      </c>
    </row>
    <row r="62" spans="1:9" ht="51.75" customHeight="1">
      <c r="A62" s="544" t="s">
        <v>868</v>
      </c>
      <c r="B62" s="545" t="s">
        <v>869</v>
      </c>
      <c r="C62" s="546">
        <v>54365.64528</v>
      </c>
      <c r="D62" s="529">
        <v>98650</v>
      </c>
      <c r="E62" s="529">
        <v>24662.5</v>
      </c>
      <c r="F62" s="529">
        <v>24662.5</v>
      </c>
      <c r="G62" s="529">
        <v>24662.5</v>
      </c>
      <c r="H62" s="531">
        <v>24662.5</v>
      </c>
      <c r="I62" s="530">
        <f t="shared" si="0"/>
        <v>0</v>
      </c>
    </row>
    <row r="63" spans="1:9" ht="16.5" customHeight="1">
      <c r="A63" s="544" t="s">
        <v>870</v>
      </c>
      <c r="B63" s="545" t="s">
        <v>871</v>
      </c>
      <c r="C63" s="546">
        <v>142939.15641</v>
      </c>
      <c r="D63" s="529">
        <v>145000</v>
      </c>
      <c r="E63" s="529">
        <v>36250</v>
      </c>
      <c r="F63" s="529">
        <v>36250</v>
      </c>
      <c r="G63" s="529">
        <v>36250</v>
      </c>
      <c r="H63" s="531">
        <v>36250</v>
      </c>
      <c r="I63" s="530">
        <f t="shared" si="0"/>
        <v>0</v>
      </c>
    </row>
    <row r="64" spans="1:9" ht="14.25" customHeight="1">
      <c r="A64" s="544" t="s">
        <v>872</v>
      </c>
      <c r="B64" s="545" t="s">
        <v>873</v>
      </c>
      <c r="C64" s="546">
        <v>4000</v>
      </c>
      <c r="D64" s="529">
        <v>4000</v>
      </c>
      <c r="E64" s="529"/>
      <c r="F64" s="529"/>
      <c r="G64" s="529"/>
      <c r="H64" s="531">
        <v>4000</v>
      </c>
      <c r="I64" s="530">
        <f t="shared" si="0"/>
        <v>0</v>
      </c>
    </row>
    <row r="65" spans="1:9" ht="16.5" customHeight="1">
      <c r="A65" s="549" t="s">
        <v>874</v>
      </c>
      <c r="B65" s="545" t="s">
        <v>875</v>
      </c>
      <c r="C65" s="546">
        <v>0</v>
      </c>
      <c r="D65" s="529">
        <v>2000</v>
      </c>
      <c r="E65" s="529">
        <v>500</v>
      </c>
      <c r="F65" s="529">
        <v>500</v>
      </c>
      <c r="G65" s="529">
        <v>500</v>
      </c>
      <c r="H65" s="531">
        <v>500</v>
      </c>
      <c r="I65" s="530">
        <f t="shared" si="0"/>
        <v>0</v>
      </c>
    </row>
    <row r="66" spans="1:9" ht="16.5" customHeight="1">
      <c r="A66" s="544" t="s">
        <v>876</v>
      </c>
      <c r="B66" s="545" t="s">
        <v>877</v>
      </c>
      <c r="C66" s="546">
        <v>2526.126</v>
      </c>
      <c r="D66" s="529">
        <v>3031</v>
      </c>
      <c r="E66" s="529">
        <v>758</v>
      </c>
      <c r="F66" s="529">
        <v>758</v>
      </c>
      <c r="G66" s="529">
        <v>758</v>
      </c>
      <c r="H66" s="531">
        <v>757</v>
      </c>
      <c r="I66" s="530">
        <f t="shared" si="0"/>
        <v>0</v>
      </c>
    </row>
    <row r="67" spans="1:9" ht="15.75" customHeight="1">
      <c r="A67" s="544" t="s">
        <v>878</v>
      </c>
      <c r="B67" s="545" t="s">
        <v>879</v>
      </c>
      <c r="C67" s="546">
        <v>6999.22387</v>
      </c>
      <c r="D67" s="529">
        <v>12100</v>
      </c>
      <c r="E67" s="529">
        <v>3025</v>
      </c>
      <c r="F67" s="529">
        <v>3025</v>
      </c>
      <c r="G67" s="529">
        <v>3025</v>
      </c>
      <c r="H67" s="531">
        <v>3025</v>
      </c>
      <c r="I67" s="530">
        <f t="shared" si="0"/>
        <v>0</v>
      </c>
    </row>
    <row r="68" spans="1:9" ht="19.5" customHeight="1">
      <c r="A68" s="544" t="s">
        <v>880</v>
      </c>
      <c r="B68" s="545" t="s">
        <v>881</v>
      </c>
      <c r="C68" s="546">
        <v>2442</v>
      </c>
      <c r="D68" s="529">
        <v>5000</v>
      </c>
      <c r="E68" s="529">
        <v>1250</v>
      </c>
      <c r="F68" s="529">
        <v>1250</v>
      </c>
      <c r="G68" s="529">
        <v>1250</v>
      </c>
      <c r="H68" s="531">
        <v>1250</v>
      </c>
      <c r="I68" s="530">
        <f t="shared" si="0"/>
        <v>0</v>
      </c>
    </row>
    <row r="69" spans="1:9" ht="17.25" customHeight="1">
      <c r="A69" s="544" t="s">
        <v>883</v>
      </c>
      <c r="B69" s="545" t="s">
        <v>882</v>
      </c>
      <c r="C69" s="546"/>
      <c r="D69" s="529"/>
      <c r="E69" s="529"/>
      <c r="F69" s="529"/>
      <c r="G69" s="529"/>
      <c r="H69" s="531"/>
      <c r="I69" s="530">
        <f t="shared" si="0"/>
        <v>0</v>
      </c>
    </row>
    <row r="70" spans="1:9" ht="16.5" customHeight="1">
      <c r="A70" s="523" t="s">
        <v>885</v>
      </c>
      <c r="B70" s="560" t="s">
        <v>884</v>
      </c>
      <c r="C70" s="561">
        <v>250000</v>
      </c>
      <c r="D70" s="525">
        <v>250000</v>
      </c>
      <c r="E70" s="525">
        <v>62500</v>
      </c>
      <c r="F70" s="525">
        <v>62500</v>
      </c>
      <c r="G70" s="525">
        <v>62500</v>
      </c>
      <c r="H70" s="526">
        <v>62500</v>
      </c>
      <c r="I70" s="530">
        <f t="shared" si="0"/>
        <v>0</v>
      </c>
    </row>
    <row r="71" spans="1:9" ht="16.5" customHeight="1">
      <c r="A71" s="544" t="s">
        <v>887</v>
      </c>
      <c r="B71" s="545" t="s">
        <v>886</v>
      </c>
      <c r="C71" s="546">
        <v>100000</v>
      </c>
      <c r="D71" s="529"/>
      <c r="E71" s="529"/>
      <c r="F71" s="529"/>
      <c r="G71" s="529"/>
      <c r="H71" s="531"/>
      <c r="I71" s="530">
        <f t="shared" si="0"/>
        <v>0</v>
      </c>
    </row>
    <row r="72" spans="1:9" ht="53.25" customHeight="1">
      <c r="A72" s="544" t="s">
        <v>895</v>
      </c>
      <c r="B72" s="560" t="s">
        <v>888</v>
      </c>
      <c r="C72" s="561">
        <v>2480538.19125</v>
      </c>
      <c r="D72" s="525">
        <f>D73+D74+D75+D76+D77+D78</f>
        <v>2740809.6</v>
      </c>
      <c r="E72" s="525">
        <f>E73+E74+E75+E76+E77+E78</f>
        <v>682911.5</v>
      </c>
      <c r="F72" s="525">
        <f>F73+F74+F75+F76+F77+F78</f>
        <v>675789.2999999999</v>
      </c>
      <c r="G72" s="525">
        <f>G73+G74+G75+G76+G77+G78</f>
        <v>662501.1</v>
      </c>
      <c r="H72" s="526">
        <f>H73+H74+H75+H76+H77+H78</f>
        <v>719607.7000000001</v>
      </c>
      <c r="I72" s="530">
        <f t="shared" si="0"/>
        <v>0</v>
      </c>
    </row>
    <row r="73" spans="1:9" ht="15.75" customHeight="1">
      <c r="A73" s="544"/>
      <c r="B73" s="562" t="s">
        <v>889</v>
      </c>
      <c r="C73" s="563">
        <v>122507.63443</v>
      </c>
      <c r="D73" s="529">
        <f aca="true" t="shared" si="4" ref="D73:D79">E73+F73+G73+H73</f>
        <v>122336</v>
      </c>
      <c r="E73" s="529">
        <v>30584</v>
      </c>
      <c r="F73" s="529">
        <v>30584</v>
      </c>
      <c r="G73" s="529">
        <v>30584</v>
      </c>
      <c r="H73" s="531">
        <v>30584</v>
      </c>
      <c r="I73" s="530">
        <f t="shared" si="0"/>
        <v>0</v>
      </c>
    </row>
    <row r="74" spans="1:9" ht="15" customHeight="1">
      <c r="A74" s="544"/>
      <c r="B74" s="562" t="s">
        <v>890</v>
      </c>
      <c r="C74" s="563">
        <v>331148.98832</v>
      </c>
      <c r="D74" s="529">
        <f t="shared" si="4"/>
        <v>326367.6</v>
      </c>
      <c r="E74" s="529">
        <v>81591.9</v>
      </c>
      <c r="F74" s="529">
        <v>81591.9</v>
      </c>
      <c r="G74" s="529">
        <v>81591.9</v>
      </c>
      <c r="H74" s="531">
        <v>81591.9</v>
      </c>
      <c r="I74" s="530">
        <f t="shared" si="0"/>
        <v>0</v>
      </c>
    </row>
    <row r="75" spans="1:9" ht="15" customHeight="1">
      <c r="A75" s="544"/>
      <c r="B75" s="562" t="s">
        <v>891</v>
      </c>
      <c r="C75" s="563">
        <v>127910.7328</v>
      </c>
      <c r="D75" s="529">
        <v>195756.7</v>
      </c>
      <c r="E75" s="529">
        <v>46553.3</v>
      </c>
      <c r="F75" s="529">
        <v>47364.2</v>
      </c>
      <c r="G75" s="529">
        <v>48341.4</v>
      </c>
      <c r="H75" s="531">
        <v>53497.8</v>
      </c>
      <c r="I75" s="530">
        <f aca="true" t="shared" si="5" ref="I75:I119">D75-E75-F75-G75-H75</f>
        <v>0</v>
      </c>
    </row>
    <row r="76" spans="1:9" ht="18" customHeight="1">
      <c r="A76" s="544"/>
      <c r="B76" s="545" t="s">
        <v>892</v>
      </c>
      <c r="C76" s="546">
        <v>759588.33428</v>
      </c>
      <c r="D76" s="529">
        <v>838539.7</v>
      </c>
      <c r="E76" s="529">
        <v>209672.9</v>
      </c>
      <c r="F76" s="529">
        <v>206499.7</v>
      </c>
      <c r="G76" s="529">
        <v>200793.5</v>
      </c>
      <c r="H76" s="531">
        <v>221573.6</v>
      </c>
      <c r="I76" s="530">
        <f t="shared" si="5"/>
        <v>0</v>
      </c>
    </row>
    <row r="77" spans="1:9" ht="24.75" customHeight="1">
      <c r="A77" s="544"/>
      <c r="B77" s="562" t="s">
        <v>893</v>
      </c>
      <c r="C77" s="563">
        <v>271281.54796</v>
      </c>
      <c r="D77" s="529">
        <v>299478.5</v>
      </c>
      <c r="E77" s="529">
        <v>74883.2</v>
      </c>
      <c r="F77" s="529">
        <v>73749.9</v>
      </c>
      <c r="G77" s="529">
        <v>71712</v>
      </c>
      <c r="H77" s="531">
        <v>79133.4</v>
      </c>
      <c r="I77" s="530">
        <f t="shared" si="5"/>
        <v>0</v>
      </c>
    </row>
    <row r="78" spans="1:9" ht="18.75" customHeight="1">
      <c r="A78" s="544"/>
      <c r="B78" s="562" t="s">
        <v>894</v>
      </c>
      <c r="C78" s="563">
        <v>868100.95346</v>
      </c>
      <c r="D78" s="529">
        <v>958331.1</v>
      </c>
      <c r="E78" s="529">
        <v>239626.2</v>
      </c>
      <c r="F78" s="529">
        <v>235999.6</v>
      </c>
      <c r="G78" s="529">
        <v>229478.3</v>
      </c>
      <c r="H78" s="531">
        <v>253227</v>
      </c>
      <c r="I78" s="530">
        <f t="shared" si="5"/>
        <v>0</v>
      </c>
    </row>
    <row r="79" spans="1:9" ht="17.25" customHeight="1">
      <c r="A79" s="549" t="s">
        <v>897</v>
      </c>
      <c r="B79" s="545" t="s">
        <v>896</v>
      </c>
      <c r="C79" s="546">
        <v>312.03645</v>
      </c>
      <c r="D79" s="529">
        <f t="shared" si="4"/>
        <v>360</v>
      </c>
      <c r="E79" s="529">
        <v>90</v>
      </c>
      <c r="F79" s="529">
        <v>90</v>
      </c>
      <c r="G79" s="529">
        <v>90</v>
      </c>
      <c r="H79" s="531">
        <v>90</v>
      </c>
      <c r="I79" s="530">
        <f t="shared" si="5"/>
        <v>0</v>
      </c>
    </row>
    <row r="80" spans="1:9" ht="18" customHeight="1">
      <c r="A80" s="544" t="s">
        <v>898</v>
      </c>
      <c r="B80" s="545" t="s">
        <v>1268</v>
      </c>
      <c r="C80" s="546">
        <v>45255.3336</v>
      </c>
      <c r="D80" s="529">
        <v>59040</v>
      </c>
      <c r="E80" s="529">
        <v>14760</v>
      </c>
      <c r="F80" s="529">
        <v>14760</v>
      </c>
      <c r="G80" s="529">
        <v>14760</v>
      </c>
      <c r="H80" s="531">
        <v>14760</v>
      </c>
      <c r="I80" s="530">
        <f t="shared" si="5"/>
        <v>0</v>
      </c>
    </row>
    <row r="81" spans="1:9" ht="25.5" customHeight="1">
      <c r="A81" s="544" t="s">
        <v>900</v>
      </c>
      <c r="B81" s="545" t="s">
        <v>899</v>
      </c>
      <c r="C81" s="546">
        <v>35000</v>
      </c>
      <c r="D81" s="529">
        <v>35000</v>
      </c>
      <c r="E81" s="529"/>
      <c r="F81" s="529"/>
      <c r="G81" s="529"/>
      <c r="H81" s="531">
        <v>35000</v>
      </c>
      <c r="I81" s="530">
        <f t="shared" si="5"/>
        <v>0</v>
      </c>
    </row>
    <row r="82" spans="1:9" ht="18" customHeight="1">
      <c r="A82" s="544" t="s">
        <v>902</v>
      </c>
      <c r="B82" s="545" t="s">
        <v>901</v>
      </c>
      <c r="C82" s="546">
        <v>30171</v>
      </c>
      <c r="D82" s="529">
        <v>29400</v>
      </c>
      <c r="E82" s="529">
        <v>18213</v>
      </c>
      <c r="F82" s="529">
        <v>3729</v>
      </c>
      <c r="G82" s="529">
        <v>3729</v>
      </c>
      <c r="H82" s="531">
        <v>3729</v>
      </c>
      <c r="I82" s="530">
        <f t="shared" si="5"/>
        <v>0</v>
      </c>
    </row>
    <row r="83" spans="1:9" ht="18.75" customHeight="1">
      <c r="A83" s="544" t="s">
        <v>904</v>
      </c>
      <c r="B83" s="545" t="s">
        <v>903</v>
      </c>
      <c r="C83" s="546">
        <v>270.04199</v>
      </c>
      <c r="D83" s="529"/>
      <c r="E83" s="529"/>
      <c r="F83" s="529"/>
      <c r="G83" s="529"/>
      <c r="H83" s="531"/>
      <c r="I83" s="530">
        <f t="shared" si="5"/>
        <v>0</v>
      </c>
    </row>
    <row r="84" spans="1:9" ht="51.75" customHeight="1">
      <c r="A84" s="544" t="s">
        <v>906</v>
      </c>
      <c r="B84" s="545" t="s">
        <v>905</v>
      </c>
      <c r="C84" s="546">
        <v>24048.53712</v>
      </c>
      <c r="D84" s="529">
        <f>E84+F84+G84+H84</f>
        <v>29000</v>
      </c>
      <c r="E84" s="529">
        <v>7250</v>
      </c>
      <c r="F84" s="529">
        <v>7250</v>
      </c>
      <c r="G84" s="529">
        <v>7250</v>
      </c>
      <c r="H84" s="531">
        <v>7250</v>
      </c>
      <c r="I84" s="530">
        <f t="shared" si="5"/>
        <v>0</v>
      </c>
    </row>
    <row r="85" spans="1:9" ht="42" customHeight="1">
      <c r="A85" s="544" t="s">
        <v>908</v>
      </c>
      <c r="B85" s="545" t="s">
        <v>907</v>
      </c>
      <c r="C85" s="546"/>
      <c r="D85" s="529"/>
      <c r="E85" s="529"/>
      <c r="F85" s="529"/>
      <c r="G85" s="529"/>
      <c r="H85" s="531"/>
      <c r="I85" s="530">
        <f t="shared" si="5"/>
        <v>0</v>
      </c>
    </row>
    <row r="86" spans="1:9" ht="15" customHeight="1">
      <c r="A86" s="544" t="s">
        <v>910</v>
      </c>
      <c r="B86" s="545" t="s">
        <v>909</v>
      </c>
      <c r="C86" s="546">
        <v>0</v>
      </c>
      <c r="D86" s="529"/>
      <c r="E86" s="529"/>
      <c r="F86" s="529"/>
      <c r="G86" s="529"/>
      <c r="H86" s="531"/>
      <c r="I86" s="530">
        <f t="shared" si="5"/>
        <v>0</v>
      </c>
    </row>
    <row r="87" spans="1:9" ht="40.5" customHeight="1">
      <c r="A87" s="544" t="s">
        <v>912</v>
      </c>
      <c r="B87" s="545" t="s">
        <v>911</v>
      </c>
      <c r="C87" s="546">
        <v>397.61575</v>
      </c>
      <c r="D87" s="529"/>
      <c r="E87" s="529"/>
      <c r="F87" s="529"/>
      <c r="G87" s="529"/>
      <c r="H87" s="531"/>
      <c r="I87" s="530">
        <f t="shared" si="5"/>
        <v>0</v>
      </c>
    </row>
    <row r="88" spans="1:9" ht="18.75" customHeight="1">
      <c r="A88" s="544" t="s">
        <v>914</v>
      </c>
      <c r="B88" s="545" t="s">
        <v>913</v>
      </c>
      <c r="C88" s="546"/>
      <c r="D88" s="529"/>
      <c r="E88" s="529"/>
      <c r="F88" s="529"/>
      <c r="G88" s="529"/>
      <c r="H88" s="531"/>
      <c r="I88" s="530">
        <f t="shared" si="5"/>
        <v>0</v>
      </c>
    </row>
    <row r="89" spans="1:9" ht="27" customHeight="1">
      <c r="A89" s="544" t="s">
        <v>916</v>
      </c>
      <c r="B89" s="545" t="s">
        <v>915</v>
      </c>
      <c r="C89" s="546">
        <v>6018.61045</v>
      </c>
      <c r="D89" s="529"/>
      <c r="E89" s="529"/>
      <c r="F89" s="529"/>
      <c r="G89" s="529"/>
      <c r="H89" s="531"/>
      <c r="I89" s="530">
        <f t="shared" si="5"/>
        <v>0</v>
      </c>
    </row>
    <row r="90" spans="1:9" ht="15" customHeight="1">
      <c r="A90" s="544" t="s">
        <v>918</v>
      </c>
      <c r="B90" s="545" t="s">
        <v>917</v>
      </c>
      <c r="C90" s="546">
        <v>8070.55206</v>
      </c>
      <c r="D90" s="529">
        <v>10000</v>
      </c>
      <c r="E90" s="529">
        <v>2500</v>
      </c>
      <c r="F90" s="529">
        <v>2500</v>
      </c>
      <c r="G90" s="529">
        <v>2500</v>
      </c>
      <c r="H90" s="531">
        <v>2500</v>
      </c>
      <c r="I90" s="530">
        <f t="shared" si="5"/>
        <v>0</v>
      </c>
    </row>
    <row r="91" spans="1:9" ht="14.25" customHeight="1">
      <c r="A91" s="544" t="s">
        <v>920</v>
      </c>
      <c r="B91" s="545" t="s">
        <v>919</v>
      </c>
      <c r="C91" s="546">
        <v>770.56128</v>
      </c>
      <c r="D91" s="529"/>
      <c r="E91" s="529"/>
      <c r="F91" s="529"/>
      <c r="G91" s="529"/>
      <c r="H91" s="531"/>
      <c r="I91" s="530">
        <f t="shared" si="5"/>
        <v>0</v>
      </c>
    </row>
    <row r="92" spans="1:9" ht="17.25" customHeight="1">
      <c r="A92" s="544" t="s">
        <v>922</v>
      </c>
      <c r="B92" s="560" t="s">
        <v>921</v>
      </c>
      <c r="C92" s="561">
        <v>23045.688</v>
      </c>
      <c r="D92" s="529">
        <v>2208</v>
      </c>
      <c r="E92" s="529">
        <v>552</v>
      </c>
      <c r="F92" s="529">
        <v>552</v>
      </c>
      <c r="G92" s="529">
        <v>552</v>
      </c>
      <c r="H92" s="531">
        <v>552</v>
      </c>
      <c r="I92" s="530">
        <f t="shared" si="5"/>
        <v>0</v>
      </c>
    </row>
    <row r="93" spans="1:9" ht="17.25" customHeight="1">
      <c r="A93" s="544" t="s">
        <v>924</v>
      </c>
      <c r="B93" s="545" t="s">
        <v>923</v>
      </c>
      <c r="C93" s="546">
        <v>31682.028</v>
      </c>
      <c r="D93" s="529"/>
      <c r="E93" s="529"/>
      <c r="F93" s="529"/>
      <c r="G93" s="529"/>
      <c r="H93" s="531"/>
      <c r="I93" s="530">
        <f t="shared" si="5"/>
        <v>0</v>
      </c>
    </row>
    <row r="94" spans="1:9" ht="18.75" customHeight="1">
      <c r="A94" s="544" t="s">
        <v>926</v>
      </c>
      <c r="B94" s="545" t="s">
        <v>925</v>
      </c>
      <c r="C94" s="546">
        <v>17780</v>
      </c>
      <c r="D94" s="529"/>
      <c r="E94" s="529"/>
      <c r="F94" s="529"/>
      <c r="G94" s="529"/>
      <c r="H94" s="531"/>
      <c r="I94" s="530">
        <f t="shared" si="5"/>
        <v>0</v>
      </c>
    </row>
    <row r="95" spans="1:9" ht="16.5" customHeight="1">
      <c r="A95" s="544" t="s">
        <v>928</v>
      </c>
      <c r="B95" s="545" t="s">
        <v>927</v>
      </c>
      <c r="C95" s="546">
        <v>516.06528</v>
      </c>
      <c r="D95" s="529">
        <v>592</v>
      </c>
      <c r="E95" s="529">
        <v>148</v>
      </c>
      <c r="F95" s="529">
        <v>148</v>
      </c>
      <c r="G95" s="529">
        <v>148</v>
      </c>
      <c r="H95" s="531">
        <v>148</v>
      </c>
      <c r="I95" s="530">
        <f t="shared" si="5"/>
        <v>0</v>
      </c>
    </row>
    <row r="96" spans="1:9" ht="17.25" customHeight="1">
      <c r="A96" s="544" t="s">
        <v>930</v>
      </c>
      <c r="B96" s="545" t="s">
        <v>929</v>
      </c>
      <c r="C96" s="546">
        <v>14166.2684</v>
      </c>
      <c r="D96" s="529"/>
      <c r="E96" s="529"/>
      <c r="F96" s="529"/>
      <c r="G96" s="529"/>
      <c r="H96" s="531"/>
      <c r="I96" s="530">
        <f t="shared" si="5"/>
        <v>0</v>
      </c>
    </row>
    <row r="97" spans="1:9" ht="18.75" customHeight="1">
      <c r="A97" s="544" t="s">
        <v>931</v>
      </c>
      <c r="B97" s="545" t="s">
        <v>827</v>
      </c>
      <c r="C97" s="546">
        <v>8845.2</v>
      </c>
      <c r="D97" s="529"/>
      <c r="E97" s="529"/>
      <c r="F97" s="529"/>
      <c r="G97" s="529"/>
      <c r="H97" s="531"/>
      <c r="I97" s="530">
        <f t="shared" si="5"/>
        <v>0</v>
      </c>
    </row>
    <row r="98" spans="1:9" ht="16.5" customHeight="1">
      <c r="A98" s="544" t="s">
        <v>933</v>
      </c>
      <c r="B98" s="545" t="s">
        <v>932</v>
      </c>
      <c r="C98" s="546">
        <v>25179.43129</v>
      </c>
      <c r="D98" s="529">
        <v>25876</v>
      </c>
      <c r="E98" s="529">
        <v>6469</v>
      </c>
      <c r="F98" s="529">
        <v>6469</v>
      </c>
      <c r="G98" s="529">
        <v>6469</v>
      </c>
      <c r="H98" s="531">
        <v>6469</v>
      </c>
      <c r="I98" s="530">
        <f t="shared" si="5"/>
        <v>0</v>
      </c>
    </row>
    <row r="99" spans="1:9" ht="15.75" customHeight="1">
      <c r="A99" s="544" t="s">
        <v>935</v>
      </c>
      <c r="B99" s="545" t="s">
        <v>934</v>
      </c>
      <c r="C99" s="546">
        <v>9929.56022</v>
      </c>
      <c r="D99" s="529"/>
      <c r="E99" s="529"/>
      <c r="F99" s="529"/>
      <c r="G99" s="529"/>
      <c r="H99" s="531"/>
      <c r="I99" s="530">
        <f t="shared" si="5"/>
        <v>0</v>
      </c>
    </row>
    <row r="100" spans="1:9" ht="16.5" customHeight="1">
      <c r="A100" s="544" t="s">
        <v>937</v>
      </c>
      <c r="B100" s="545" t="s">
        <v>936</v>
      </c>
      <c r="C100" s="546">
        <v>41207.45621</v>
      </c>
      <c r="D100" s="529">
        <v>12720</v>
      </c>
      <c r="E100" s="529">
        <v>3180</v>
      </c>
      <c r="F100" s="529">
        <v>3180</v>
      </c>
      <c r="G100" s="529">
        <v>3180</v>
      </c>
      <c r="H100" s="531">
        <v>3180</v>
      </c>
      <c r="I100" s="530">
        <f t="shared" si="5"/>
        <v>0</v>
      </c>
    </row>
    <row r="101" spans="1:9" ht="15.75" customHeight="1">
      <c r="A101" s="544" t="s">
        <v>939</v>
      </c>
      <c r="B101" s="545" t="s">
        <v>938</v>
      </c>
      <c r="C101" s="546">
        <v>500</v>
      </c>
      <c r="D101" s="529"/>
      <c r="E101" s="529"/>
      <c r="F101" s="529"/>
      <c r="G101" s="529"/>
      <c r="H101" s="531"/>
      <c r="I101" s="530">
        <f t="shared" si="5"/>
        <v>0</v>
      </c>
    </row>
    <row r="102" spans="1:9" ht="15" customHeight="1">
      <c r="A102" s="544" t="s">
        <v>941</v>
      </c>
      <c r="B102" s="545" t="s">
        <v>940</v>
      </c>
      <c r="C102" s="546">
        <v>317.25409</v>
      </c>
      <c r="D102" s="529"/>
      <c r="E102" s="529"/>
      <c r="F102" s="529"/>
      <c r="G102" s="529"/>
      <c r="H102" s="531"/>
      <c r="I102" s="530">
        <f t="shared" si="5"/>
        <v>0</v>
      </c>
    </row>
    <row r="103" spans="1:9" ht="17.25" customHeight="1">
      <c r="A103" s="544" t="s">
        <v>942</v>
      </c>
      <c r="B103" s="545" t="s">
        <v>785</v>
      </c>
      <c r="C103" s="546">
        <v>3302.9641</v>
      </c>
      <c r="D103" s="529"/>
      <c r="E103" s="529"/>
      <c r="F103" s="529"/>
      <c r="G103" s="529"/>
      <c r="H103" s="531"/>
      <c r="I103" s="530">
        <f t="shared" si="5"/>
        <v>0</v>
      </c>
    </row>
    <row r="104" spans="1:9" ht="14.25" customHeight="1">
      <c r="A104" s="544" t="s">
        <v>944</v>
      </c>
      <c r="B104" s="545" t="s">
        <v>943</v>
      </c>
      <c r="C104" s="546">
        <v>9173.2544</v>
      </c>
      <c r="D104" s="529"/>
      <c r="E104" s="525"/>
      <c r="F104" s="525"/>
      <c r="G104" s="525"/>
      <c r="H104" s="526"/>
      <c r="I104" s="530">
        <f t="shared" si="5"/>
        <v>0</v>
      </c>
    </row>
    <row r="105" spans="1:9" ht="17.25" customHeight="1">
      <c r="A105" s="519" t="s">
        <v>946</v>
      </c>
      <c r="B105" s="545" t="s">
        <v>945</v>
      </c>
      <c r="C105" s="546">
        <v>26257.22924</v>
      </c>
      <c r="D105" s="529">
        <v>32616</v>
      </c>
      <c r="E105" s="564">
        <v>8154</v>
      </c>
      <c r="F105" s="564">
        <v>8154</v>
      </c>
      <c r="G105" s="564">
        <v>8154</v>
      </c>
      <c r="H105" s="565">
        <v>8154</v>
      </c>
      <c r="I105" s="530">
        <f t="shared" si="5"/>
        <v>0</v>
      </c>
    </row>
    <row r="106" spans="1:9" ht="15" customHeight="1">
      <c r="A106" s="519" t="s">
        <v>948</v>
      </c>
      <c r="B106" s="545" t="s">
        <v>947</v>
      </c>
      <c r="C106" s="546">
        <v>28.7875</v>
      </c>
      <c r="D106" s="529"/>
      <c r="E106" s="529"/>
      <c r="F106" s="529"/>
      <c r="G106" s="529"/>
      <c r="H106" s="531"/>
      <c r="I106" s="530">
        <f t="shared" si="5"/>
        <v>0</v>
      </c>
    </row>
    <row r="107" spans="1:9" ht="17.25" customHeight="1">
      <c r="A107" s="519" t="s">
        <v>950</v>
      </c>
      <c r="B107" s="545" t="s">
        <v>949</v>
      </c>
      <c r="C107" s="546">
        <v>0</v>
      </c>
      <c r="D107" s="529"/>
      <c r="E107" s="529"/>
      <c r="F107" s="529"/>
      <c r="G107" s="529"/>
      <c r="H107" s="531"/>
      <c r="I107" s="530">
        <f t="shared" si="5"/>
        <v>0</v>
      </c>
    </row>
    <row r="108" spans="1:9" ht="27" customHeight="1">
      <c r="A108" s="566" t="s">
        <v>952</v>
      </c>
      <c r="B108" s="545" t="s">
        <v>951</v>
      </c>
      <c r="C108" s="546">
        <v>261454.47</v>
      </c>
      <c r="D108" s="529">
        <f>E108+F108+G108+H108</f>
        <v>353270.6</v>
      </c>
      <c r="E108" s="529">
        <f>46449.375+34837.025+28125</f>
        <v>109411.4</v>
      </c>
      <c r="F108" s="529">
        <f>46449.375+34837.025</f>
        <v>81286.4</v>
      </c>
      <c r="G108" s="529">
        <f>46449.375+34837.025</f>
        <v>81286.4</v>
      </c>
      <c r="H108" s="531">
        <f>46449.375+34837.025</f>
        <v>81286.4</v>
      </c>
      <c r="I108" s="530">
        <f t="shared" si="5"/>
        <v>0</v>
      </c>
    </row>
    <row r="109" spans="1:9" ht="23.25" customHeight="1">
      <c r="A109" s="566" t="s">
        <v>954</v>
      </c>
      <c r="B109" s="545" t="s">
        <v>953</v>
      </c>
      <c r="C109" s="546">
        <v>253858.04035</v>
      </c>
      <c r="D109" s="529">
        <f>E109+F109+G109+H109</f>
        <v>467071.6</v>
      </c>
      <c r="E109" s="529">
        <f>109736.65+28125</f>
        <v>137861.65</v>
      </c>
      <c r="F109" s="529">
        <v>109736.65</v>
      </c>
      <c r="G109" s="529">
        <v>109736.65</v>
      </c>
      <c r="H109" s="531">
        <v>109736.65</v>
      </c>
      <c r="I109" s="530">
        <f t="shared" si="5"/>
        <v>0</v>
      </c>
    </row>
    <row r="110" spans="1:9" ht="15.75" customHeight="1">
      <c r="A110" s="566" t="s">
        <v>955</v>
      </c>
      <c r="B110" s="545" t="s">
        <v>1269</v>
      </c>
      <c r="C110" s="546"/>
      <c r="D110" s="529">
        <v>2995.5</v>
      </c>
      <c r="E110" s="529">
        <v>2995.5</v>
      </c>
      <c r="F110" s="529"/>
      <c r="G110" s="529"/>
      <c r="H110" s="531"/>
      <c r="I110" s="530">
        <f t="shared" si="5"/>
        <v>0</v>
      </c>
    </row>
    <row r="111" spans="1:9" ht="27" customHeight="1">
      <c r="A111" s="566" t="s">
        <v>957</v>
      </c>
      <c r="B111" s="830" t="s">
        <v>1270</v>
      </c>
      <c r="C111" s="831">
        <v>60065.13981</v>
      </c>
      <c r="D111" s="520"/>
      <c r="E111" s="520"/>
      <c r="F111" s="529"/>
      <c r="G111" s="529"/>
      <c r="H111" s="531"/>
      <c r="I111" s="530">
        <f t="shared" si="5"/>
        <v>0</v>
      </c>
    </row>
    <row r="112" spans="1:9" ht="15.75" customHeight="1">
      <c r="A112" s="566" t="s">
        <v>958</v>
      </c>
      <c r="B112" s="545" t="s">
        <v>956</v>
      </c>
      <c r="C112" s="546">
        <v>37618.76174</v>
      </c>
      <c r="D112" s="529">
        <v>51000</v>
      </c>
      <c r="E112" s="529">
        <f>D112</f>
        <v>51000</v>
      </c>
      <c r="F112" s="529"/>
      <c r="G112" s="529"/>
      <c r="H112" s="531"/>
      <c r="I112" s="530">
        <f t="shared" si="5"/>
        <v>0</v>
      </c>
    </row>
    <row r="113" spans="1:9" ht="18" customHeight="1">
      <c r="A113" s="566" t="s">
        <v>959</v>
      </c>
      <c r="B113" s="545" t="s">
        <v>960</v>
      </c>
      <c r="C113" s="546">
        <v>42303.84</v>
      </c>
      <c r="D113" s="529"/>
      <c r="E113" s="529"/>
      <c r="F113" s="529"/>
      <c r="G113" s="529"/>
      <c r="H113" s="531"/>
      <c r="I113" s="530">
        <f t="shared" si="5"/>
        <v>0</v>
      </c>
    </row>
    <row r="114" spans="1:9" ht="15.75" customHeight="1">
      <c r="A114" s="566" t="s">
        <v>961</v>
      </c>
      <c r="B114" s="545" t="s">
        <v>963</v>
      </c>
      <c r="C114" s="546">
        <v>2799.14758</v>
      </c>
      <c r="D114" s="529"/>
      <c r="E114" s="529"/>
      <c r="F114" s="529"/>
      <c r="G114" s="529"/>
      <c r="H114" s="531"/>
      <c r="I114" s="530">
        <f t="shared" si="5"/>
        <v>0</v>
      </c>
    </row>
    <row r="115" spans="1:9" ht="18" customHeight="1">
      <c r="A115" s="566" t="s">
        <v>962</v>
      </c>
      <c r="B115" s="545" t="s">
        <v>965</v>
      </c>
      <c r="C115" s="546">
        <v>1000</v>
      </c>
      <c r="D115" s="529"/>
      <c r="E115" s="529"/>
      <c r="F115" s="529"/>
      <c r="G115" s="529"/>
      <c r="H115" s="531"/>
      <c r="I115" s="530">
        <f t="shared" si="5"/>
        <v>0</v>
      </c>
    </row>
    <row r="116" spans="1:9" ht="17.25" customHeight="1" thickBot="1">
      <c r="A116" s="567" t="s">
        <v>964</v>
      </c>
      <c r="B116" s="551" t="s">
        <v>1271</v>
      </c>
      <c r="C116" s="552">
        <v>2083.84</v>
      </c>
      <c r="D116" s="553"/>
      <c r="E116" s="553"/>
      <c r="F116" s="553"/>
      <c r="G116" s="553"/>
      <c r="H116" s="554"/>
      <c r="I116" s="530">
        <f t="shared" si="5"/>
        <v>0</v>
      </c>
    </row>
    <row r="117" spans="1:9" ht="17.25" customHeight="1" thickBot="1">
      <c r="A117" s="734"/>
      <c r="B117" s="558" t="s">
        <v>966</v>
      </c>
      <c r="C117" s="574">
        <f>SUM(C47:C116)-C72</f>
        <v>5790356.99965</v>
      </c>
      <c r="D117" s="574">
        <f>SUM(D48:D116)-D72</f>
        <v>6209884.025</v>
      </c>
      <c r="E117" s="574">
        <f>SUM(E48:E116)-E72</f>
        <v>1522969.74375</v>
      </c>
      <c r="F117" s="574">
        <f>SUM(F48:F116)-F72</f>
        <v>1556743.0437499997</v>
      </c>
      <c r="G117" s="574">
        <f>SUM(G48:G116)-G72</f>
        <v>1480329.8437499995</v>
      </c>
      <c r="H117" s="575">
        <f>SUM(H48:H116)-H72</f>
        <v>1649841.6937499996</v>
      </c>
      <c r="I117" s="530">
        <f t="shared" si="5"/>
        <v>-0.2999999988824129</v>
      </c>
    </row>
    <row r="118" spans="1:9" ht="19.5" customHeight="1" thickBot="1">
      <c r="A118" s="568"/>
      <c r="B118" s="569"/>
      <c r="C118" s="569"/>
      <c r="D118" s="570"/>
      <c r="E118" s="569"/>
      <c r="F118" s="571"/>
      <c r="G118" s="571"/>
      <c r="H118" s="572"/>
      <c r="I118" s="530">
        <f t="shared" si="5"/>
        <v>0</v>
      </c>
    </row>
    <row r="119" spans="1:9" ht="13.5" thickBot="1">
      <c r="A119" s="573"/>
      <c r="B119" s="558" t="s">
        <v>967</v>
      </c>
      <c r="C119" s="574">
        <f aca="true" t="shared" si="6" ref="C119:H119">C117+C45+C24</f>
        <v>8563510.5269</v>
      </c>
      <c r="D119" s="574">
        <f t="shared" si="6"/>
        <v>9289122.0298</v>
      </c>
      <c r="E119" s="574">
        <f t="shared" si="6"/>
        <v>2292779.2449499997</v>
      </c>
      <c r="F119" s="574">
        <f t="shared" si="6"/>
        <v>2326552.5449499995</v>
      </c>
      <c r="G119" s="574">
        <f t="shared" si="6"/>
        <v>2250139.3449499994</v>
      </c>
      <c r="H119" s="575">
        <f t="shared" si="6"/>
        <v>2419651.1949499995</v>
      </c>
      <c r="I119" s="530">
        <f t="shared" si="5"/>
        <v>-0.2999999984167516</v>
      </c>
    </row>
    <row r="120" spans="1:9" ht="27.75" customHeight="1">
      <c r="A120" s="576"/>
      <c r="B120" s="577" t="s">
        <v>968</v>
      </c>
      <c r="C120" s="577"/>
      <c r="D120" s="578">
        <f>D54+D58+D59+D60+D62+D70+D81+D82+D100+D105+D108+D109</f>
        <v>1475884.45</v>
      </c>
      <c r="E120" s="578">
        <f>E54+E58+E59+E60+E62+E70+E81+E82+E100+E105+E108+E109</f>
        <v>368201.3</v>
      </c>
      <c r="F120" s="578" t="s">
        <v>969</v>
      </c>
      <c r="G120" s="578">
        <f>G54+G58+G59+G60+G62+G70+G81+G82+G100+G105+G108+G109</f>
        <v>477467.30000000005</v>
      </c>
      <c r="H120" s="578">
        <f>H54+H58+H59+H60+H62+H70+H81+H82+H100+H105+H108+H109</f>
        <v>332748.55</v>
      </c>
      <c r="I120" s="579"/>
    </row>
    <row r="121" spans="1:9" ht="15.75">
      <c r="A121" s="1226" t="s">
        <v>970</v>
      </c>
      <c r="B121" s="1226"/>
      <c r="C121" s="1226"/>
      <c r="D121" s="1226"/>
      <c r="E121" s="1226"/>
      <c r="F121" s="1226"/>
      <c r="G121" s="1226"/>
      <c r="H121" s="1226"/>
      <c r="I121" s="1226"/>
    </row>
    <row r="122" spans="1:9" ht="15.75">
      <c r="A122" s="1331" t="s">
        <v>971</v>
      </c>
      <c r="B122" s="1331"/>
      <c r="C122" s="1331"/>
      <c r="D122" s="1331"/>
      <c r="E122" s="1331"/>
      <c r="F122" s="1331"/>
      <c r="G122" s="153"/>
      <c r="H122" s="153"/>
      <c r="I122" s="153"/>
    </row>
    <row r="123" spans="1:9" ht="10.5" customHeight="1">
      <c r="A123" s="153"/>
      <c r="B123" s="153"/>
      <c r="C123" s="153"/>
      <c r="D123" s="153"/>
      <c r="E123" s="153"/>
      <c r="F123" s="153"/>
      <c r="G123" s="153"/>
      <c r="H123" s="153"/>
      <c r="I123" s="153"/>
    </row>
    <row r="124" spans="1:9" ht="22.5" customHeight="1">
      <c r="A124" s="1319" t="s">
        <v>1456</v>
      </c>
      <c r="B124" s="1319"/>
      <c r="C124" s="1319"/>
      <c r="D124" s="1319"/>
      <c r="E124" s="1319"/>
      <c r="F124" s="1319"/>
      <c r="G124" s="1319"/>
      <c r="H124" s="1319"/>
      <c r="I124" s="1319"/>
    </row>
    <row r="125" spans="1:9" ht="13.5" customHeight="1">
      <c r="A125" s="153"/>
      <c r="B125" s="153"/>
      <c r="C125" s="153"/>
      <c r="D125" s="153"/>
      <c r="E125" s="153"/>
      <c r="F125" s="153"/>
      <c r="G125" s="153"/>
      <c r="H125" s="153"/>
      <c r="I125" s="153"/>
    </row>
    <row r="126" spans="1:9" ht="28.5" customHeight="1">
      <c r="A126" s="1319" t="s">
        <v>1115</v>
      </c>
      <c r="B126" s="1319"/>
      <c r="C126" s="1319"/>
      <c r="D126" s="1319"/>
      <c r="E126" s="1319"/>
      <c r="F126" s="1319"/>
      <c r="G126" s="1319"/>
      <c r="H126" s="1319"/>
      <c r="I126" s="1319"/>
    </row>
  </sheetData>
  <sheetProtection/>
  <mergeCells count="13">
    <mergeCell ref="I5:I6"/>
    <mergeCell ref="A121:I121"/>
    <mergeCell ref="A122:F122"/>
    <mergeCell ref="A124:I124"/>
    <mergeCell ref="A126:I126"/>
    <mergeCell ref="A1:H1"/>
    <mergeCell ref="A2:H2"/>
    <mergeCell ref="A3:H3"/>
    <mergeCell ref="A5:A6"/>
    <mergeCell ref="B5:B6"/>
    <mergeCell ref="C5:C6"/>
    <mergeCell ref="D5:D6"/>
    <mergeCell ref="E5:H5"/>
  </mergeCells>
  <printOptions/>
  <pageMargins left="0.56" right="0.1968503937007874" top="0.5118110236220472" bottom="0.35433070866141736" header="0.31496062992125984" footer="0.236220472440944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42"/>
  <sheetViews>
    <sheetView zoomScalePageLayoutView="0" workbookViewId="0" topLeftCell="A19">
      <selection activeCell="A45" sqref="A45"/>
    </sheetView>
  </sheetViews>
  <sheetFormatPr defaultColWidth="9.00390625" defaultRowHeight="12.75"/>
  <cols>
    <col min="1" max="1" width="44.875" style="0" customWidth="1"/>
    <col min="2" max="2" width="12.125" style="0" customWidth="1"/>
    <col min="3" max="3" width="11.25390625" style="0" customWidth="1"/>
    <col min="4" max="5" width="12.25390625" style="0" customWidth="1"/>
    <col min="6" max="6" width="14.125" style="0" customWidth="1"/>
  </cols>
  <sheetData>
    <row r="1" spans="1:6" ht="18">
      <c r="A1" s="1225" t="s">
        <v>1120</v>
      </c>
      <c r="B1" s="1225"/>
      <c r="C1" s="1225"/>
      <c r="D1" s="1225"/>
      <c r="E1" s="1225"/>
      <c r="F1" s="1225"/>
    </row>
    <row r="2" spans="1:6" ht="13.5" thickBot="1">
      <c r="A2" t="s">
        <v>1478</v>
      </c>
      <c r="F2" s="137" t="s">
        <v>250</v>
      </c>
    </row>
    <row r="3" spans="1:6" ht="12.75">
      <c r="A3" s="1332" t="s">
        <v>737</v>
      </c>
      <c r="B3" s="1334" t="s">
        <v>1124</v>
      </c>
      <c r="C3" s="483"/>
      <c r="D3" s="484" t="s">
        <v>692</v>
      </c>
      <c r="E3" s="484"/>
      <c r="F3" s="485"/>
    </row>
    <row r="4" spans="1:6" ht="12.75">
      <c r="A4" s="1333"/>
      <c r="B4" s="1335"/>
      <c r="C4" s="1336" t="s">
        <v>282</v>
      </c>
      <c r="D4" s="1336" t="s">
        <v>283</v>
      </c>
      <c r="E4" s="1336" t="s">
        <v>284</v>
      </c>
      <c r="F4" s="1338" t="s">
        <v>285</v>
      </c>
    </row>
    <row r="5" spans="1:6" ht="13.5" thickBot="1">
      <c r="A5" s="1333"/>
      <c r="B5" s="1335"/>
      <c r="C5" s="1337"/>
      <c r="D5" s="1337"/>
      <c r="E5" s="1337"/>
      <c r="F5" s="1339"/>
    </row>
    <row r="6" spans="1:6" ht="12.75">
      <c r="A6" s="486" t="s">
        <v>738</v>
      </c>
      <c r="B6" s="487">
        <f>B7</f>
        <v>122336</v>
      </c>
      <c r="C6" s="487">
        <f>C7</f>
        <v>30584</v>
      </c>
      <c r="D6" s="487">
        <f>D7</f>
        <v>30584</v>
      </c>
      <c r="E6" s="487">
        <f>E7</f>
        <v>30584</v>
      </c>
      <c r="F6" s="488">
        <f>F7</f>
        <v>30584</v>
      </c>
    </row>
    <row r="7" spans="1:6" ht="12.75">
      <c r="A7" s="379" t="s">
        <v>739</v>
      </c>
      <c r="B7" s="489">
        <f>C7+D7+E7+F7</f>
        <v>122336</v>
      </c>
      <c r="C7" s="490">
        <v>30584</v>
      </c>
      <c r="D7" s="490">
        <v>30584</v>
      </c>
      <c r="E7" s="490">
        <v>30584</v>
      </c>
      <c r="F7" s="491">
        <v>30584</v>
      </c>
    </row>
    <row r="8" spans="1:6" ht="12.75">
      <c r="A8" s="379"/>
      <c r="B8" s="489"/>
      <c r="C8" s="489"/>
      <c r="D8" s="489"/>
      <c r="E8" s="489"/>
      <c r="F8" s="492"/>
    </row>
    <row r="9" spans="1:6" ht="12.75">
      <c r="A9" s="493" t="s">
        <v>740</v>
      </c>
      <c r="B9" s="489">
        <f>B11+B14+B16+B18</f>
        <v>326367.4</v>
      </c>
      <c r="C9" s="489">
        <f>C11+C14+C16+C18</f>
        <v>81591.85</v>
      </c>
      <c r="D9" s="489">
        <f>D11+D14+D16+D18</f>
        <v>81591.85</v>
      </c>
      <c r="E9" s="489">
        <f>E11+E14+E16+E18</f>
        <v>81591.85</v>
      </c>
      <c r="F9" s="492">
        <f>F11+F14+F16+F18</f>
        <v>81591.85</v>
      </c>
    </row>
    <row r="10" spans="1:6" ht="28.5" customHeight="1">
      <c r="A10" s="494" t="s">
        <v>741</v>
      </c>
      <c r="B10" s="489"/>
      <c r="C10" s="475"/>
      <c r="D10" s="475"/>
      <c r="E10" s="475"/>
      <c r="F10" s="476"/>
    </row>
    <row r="11" spans="1:6" ht="18.75" customHeight="1">
      <c r="A11" s="379" t="s">
        <v>742</v>
      </c>
      <c r="B11" s="489">
        <f>C11+D11+E11+F11</f>
        <v>111569.4</v>
      </c>
      <c r="C11" s="475">
        <v>27892.35</v>
      </c>
      <c r="D11" s="475">
        <v>27892.35</v>
      </c>
      <c r="E11" s="475">
        <v>27892.35</v>
      </c>
      <c r="F11" s="476">
        <v>27892.35</v>
      </c>
    </row>
    <row r="12" spans="1:6" ht="12.75">
      <c r="A12" s="473" t="s">
        <v>743</v>
      </c>
      <c r="B12" s="489"/>
      <c r="C12" s="475"/>
      <c r="D12" s="475"/>
      <c r="E12" s="475"/>
      <c r="F12" s="476"/>
    </row>
    <row r="13" spans="1:6" ht="12.75">
      <c r="A13" s="473" t="s">
        <v>744</v>
      </c>
      <c r="B13" s="489"/>
      <c r="C13" s="475"/>
      <c r="D13" s="475"/>
      <c r="E13" s="475"/>
      <c r="F13" s="476"/>
    </row>
    <row r="14" spans="1:6" ht="12.75">
      <c r="A14" s="379" t="s">
        <v>1121</v>
      </c>
      <c r="B14" s="489">
        <v>38920</v>
      </c>
      <c r="C14" s="495">
        <v>9730</v>
      </c>
      <c r="D14" s="495">
        <v>9730</v>
      </c>
      <c r="E14" s="495">
        <v>9730</v>
      </c>
      <c r="F14" s="496">
        <v>9730</v>
      </c>
    </row>
    <row r="15" spans="1:6" ht="12.75">
      <c r="A15" s="379" t="s">
        <v>745</v>
      </c>
      <c r="B15" s="489"/>
      <c r="C15" s="495"/>
      <c r="D15" s="495"/>
      <c r="E15" s="495"/>
      <c r="F15" s="496"/>
    </row>
    <row r="16" spans="1:6" ht="12.75">
      <c r="A16" s="379" t="s">
        <v>1122</v>
      </c>
      <c r="B16" s="489">
        <f>C16+D16+E16+F16</f>
        <v>51484</v>
      </c>
      <c r="C16" s="495">
        <v>12871</v>
      </c>
      <c r="D16" s="495">
        <v>12871</v>
      </c>
      <c r="E16" s="495">
        <v>12871</v>
      </c>
      <c r="F16" s="496">
        <v>12871</v>
      </c>
    </row>
    <row r="17" spans="1:6" ht="12.75">
      <c r="A17" s="379" t="s">
        <v>746</v>
      </c>
      <c r="B17" s="489"/>
      <c r="C17" s="495"/>
      <c r="D17" s="495"/>
      <c r="E17" s="495"/>
      <c r="F17" s="496"/>
    </row>
    <row r="18" spans="1:6" ht="12.75">
      <c r="A18" s="379" t="s">
        <v>1123</v>
      </c>
      <c r="B18" s="489">
        <f>C18+D18+E18+F18</f>
        <v>124394</v>
      </c>
      <c r="C18" s="495">
        <v>31098.5</v>
      </c>
      <c r="D18" s="495">
        <v>31098.5</v>
      </c>
      <c r="E18" s="495">
        <v>31098.5</v>
      </c>
      <c r="F18" s="496">
        <v>31098.5</v>
      </c>
    </row>
    <row r="19" spans="1:6" ht="12.75">
      <c r="A19" s="379"/>
      <c r="B19" s="489"/>
      <c r="C19" s="495"/>
      <c r="D19" s="495"/>
      <c r="E19" s="495"/>
      <c r="F19" s="496"/>
    </row>
    <row r="20" spans="1:6" ht="12.75">
      <c r="A20" s="497" t="s">
        <v>747</v>
      </c>
      <c r="B20" s="489"/>
      <c r="C20" s="495"/>
      <c r="D20" s="495"/>
      <c r="E20" s="495"/>
      <c r="F20" s="496"/>
    </row>
    <row r="21" spans="1:6" ht="12.75">
      <c r="A21" s="498" t="s">
        <v>1476</v>
      </c>
      <c r="B21" s="489">
        <f>C21+D21+E21+F21</f>
        <v>195756.68</v>
      </c>
      <c r="C21" s="499">
        <f>447.8*90.4*1.15</f>
        <v>46553.288</v>
      </c>
      <c r="D21" s="499">
        <f>455.6*90.4*1.15</f>
        <v>47364.176</v>
      </c>
      <c r="E21" s="499">
        <f>465*90.4*1.15</f>
        <v>48341.399999999994</v>
      </c>
      <c r="F21" s="1082">
        <f>514.6*90.4*1.15</f>
        <v>53497.816</v>
      </c>
    </row>
    <row r="22" spans="1:6" ht="12.75">
      <c r="A22" s="379"/>
      <c r="B22" s="500"/>
      <c r="C22" s="495"/>
      <c r="D22" s="495"/>
      <c r="E22" s="495"/>
      <c r="F22" s="496"/>
    </row>
    <row r="23" spans="1:6" ht="12.75">
      <c r="A23" s="501" t="s">
        <v>748</v>
      </c>
      <c r="B23" s="500"/>
      <c r="C23" s="495"/>
      <c r="D23" s="495"/>
      <c r="E23" s="495"/>
      <c r="F23" s="496"/>
    </row>
    <row r="24" spans="1:6" ht="12.75">
      <c r="A24" s="379" t="s">
        <v>1471</v>
      </c>
      <c r="B24" s="500"/>
      <c r="C24" s="495"/>
      <c r="D24" s="495"/>
      <c r="E24" s="495"/>
      <c r="F24" s="496"/>
    </row>
    <row r="25" spans="1:6" ht="12.75">
      <c r="A25" s="379" t="s">
        <v>1472</v>
      </c>
      <c r="B25" s="500">
        <f>C25+D25+E25+F25</f>
        <v>838539.688</v>
      </c>
      <c r="C25" s="495">
        <f>14976635*0.014</f>
        <v>209672.89</v>
      </c>
      <c r="D25" s="495">
        <f>14749976*0.014</f>
        <v>206499.664</v>
      </c>
      <c r="E25" s="495">
        <f>14342393*0.014</f>
        <v>200793.502</v>
      </c>
      <c r="F25" s="496">
        <f>15826688*0.014</f>
        <v>221573.632</v>
      </c>
    </row>
    <row r="26" spans="1:6" ht="12.75">
      <c r="A26" s="379"/>
      <c r="B26" s="500"/>
      <c r="C26" s="495"/>
      <c r="D26" s="495"/>
      <c r="E26" s="495"/>
      <c r="F26" s="496"/>
    </row>
    <row r="27" spans="1:6" ht="26.25" customHeight="1">
      <c r="A27" s="502" t="s">
        <v>749</v>
      </c>
      <c r="B27" s="503"/>
      <c r="C27" s="504"/>
      <c r="D27" s="504"/>
      <c r="E27" s="504"/>
      <c r="F27" s="496"/>
    </row>
    <row r="28" spans="1:6" ht="12.75">
      <c r="A28" s="379" t="s">
        <v>1473</v>
      </c>
      <c r="B28" s="500"/>
      <c r="C28" s="495"/>
      <c r="D28" s="495"/>
      <c r="E28" s="495"/>
      <c r="F28" s="496"/>
    </row>
    <row r="29" spans="1:6" ht="12.75">
      <c r="A29" s="379" t="s">
        <v>1474</v>
      </c>
      <c r="B29" s="500">
        <f>C29+D29+E29+F29</f>
        <v>299478.45999999996</v>
      </c>
      <c r="C29" s="500">
        <f>14976635*0.005</f>
        <v>74883.175</v>
      </c>
      <c r="D29" s="500">
        <f>14749976*0.005</f>
        <v>73749.88</v>
      </c>
      <c r="E29" s="500">
        <f>14342393*0.005</f>
        <v>71711.965</v>
      </c>
      <c r="F29" s="505">
        <f>15826688*0.005</f>
        <v>79133.44</v>
      </c>
    </row>
    <row r="30" spans="1:6" ht="12.75">
      <c r="A30" s="379"/>
      <c r="B30" s="500"/>
      <c r="C30" s="495"/>
      <c r="D30" s="495"/>
      <c r="E30" s="495"/>
      <c r="F30" s="496"/>
    </row>
    <row r="31" spans="1:6" ht="12.75">
      <c r="A31" s="493" t="s">
        <v>750</v>
      </c>
      <c r="B31" s="500"/>
      <c r="C31" s="500"/>
      <c r="D31" s="500"/>
      <c r="E31" s="500"/>
      <c r="F31" s="505"/>
    </row>
    <row r="32" spans="1:6" ht="12.75">
      <c r="A32" s="379" t="s">
        <v>1475</v>
      </c>
      <c r="B32" s="500"/>
      <c r="C32" s="506"/>
      <c r="D32" s="506"/>
      <c r="E32" s="506"/>
      <c r="F32" s="507"/>
    </row>
    <row r="33" spans="1:8" ht="12.75">
      <c r="A33" s="379" t="s">
        <v>1477</v>
      </c>
      <c r="B33" s="500">
        <f>C33+D33+E33+F33</f>
        <v>958331.072</v>
      </c>
      <c r="C33" s="495">
        <f>14976635*0.016</f>
        <v>239626.16</v>
      </c>
      <c r="D33" s="495">
        <f>14749976*0.016</f>
        <v>235999.616</v>
      </c>
      <c r="E33" s="495">
        <f>14342393*0.016</f>
        <v>229478.288</v>
      </c>
      <c r="F33" s="496">
        <f>15826688*0.016</f>
        <v>253227.008</v>
      </c>
      <c r="G33" s="508"/>
      <c r="H33" s="140"/>
    </row>
    <row r="34" spans="1:8" ht="12.75">
      <c r="A34" s="395"/>
      <c r="B34" s="509"/>
      <c r="C34" s="495"/>
      <c r="D34" s="495"/>
      <c r="E34" s="495"/>
      <c r="F34" s="496"/>
      <c r="H34" s="140"/>
    </row>
    <row r="35" spans="1:6" ht="15.75" thickBot="1">
      <c r="A35" s="510" t="s">
        <v>751</v>
      </c>
      <c r="B35" s="511">
        <f>B33+B29+B25+B21+B9+B6</f>
        <v>2740809.3000000003</v>
      </c>
      <c r="C35" s="511">
        <f>C33+C29+C25+C21+C9+C6</f>
        <v>682911.363</v>
      </c>
      <c r="D35" s="511">
        <f>D33+D29+D25+D21+D9+D6</f>
        <v>675789.186</v>
      </c>
      <c r="E35" s="511">
        <f>E33+E29+E25+E21+E9+E6</f>
        <v>662501.005</v>
      </c>
      <c r="F35" s="512">
        <f>F33+F29+F25+F21+F9+F6</f>
        <v>719607.7459999999</v>
      </c>
    </row>
    <row r="36" spans="2:6" ht="38.25" customHeight="1">
      <c r="B36" s="421"/>
      <c r="C36" s="421"/>
      <c r="D36" s="421"/>
      <c r="E36" s="421"/>
      <c r="F36" s="421"/>
    </row>
    <row r="37" spans="1:10" ht="15">
      <c r="A37" s="481" t="s">
        <v>735</v>
      </c>
      <c r="B37" s="481"/>
      <c r="C37" s="481"/>
      <c r="D37" s="481"/>
      <c r="E37" s="481"/>
      <c r="F37" s="481"/>
      <c r="G37" s="481"/>
      <c r="H37" s="481"/>
      <c r="I37" s="481"/>
      <c r="J37" s="481"/>
    </row>
    <row r="38" spans="1:10" ht="15">
      <c r="A38" s="481" t="s">
        <v>736</v>
      </c>
      <c r="B38" s="481"/>
      <c r="C38" s="481"/>
      <c r="D38" s="481"/>
      <c r="E38" s="481"/>
      <c r="F38" s="481"/>
      <c r="G38" s="481"/>
      <c r="H38" s="481"/>
      <c r="I38" s="481"/>
      <c r="J38" s="482"/>
    </row>
    <row r="39" spans="1:10" ht="15">
      <c r="A39" s="482"/>
      <c r="B39" s="482"/>
      <c r="C39" s="482"/>
      <c r="D39" s="482"/>
      <c r="E39" s="482"/>
      <c r="F39" s="482"/>
      <c r="G39" s="482"/>
      <c r="H39" s="482"/>
      <c r="I39" s="482"/>
      <c r="J39" s="482"/>
    </row>
    <row r="40" spans="1:10" ht="21.75" customHeight="1">
      <c r="A40" s="1306" t="s">
        <v>1483</v>
      </c>
      <c r="B40" s="1306"/>
      <c r="C40" s="1306"/>
      <c r="D40" s="1306"/>
      <c r="E40" s="1306"/>
      <c r="F40" s="1306"/>
      <c r="G40" s="1306"/>
      <c r="H40" s="1306"/>
      <c r="I40" s="1306"/>
      <c r="J40" s="1306"/>
    </row>
    <row r="41" spans="1:10" ht="15">
      <c r="A41" s="482"/>
      <c r="B41" s="482"/>
      <c r="C41" s="482"/>
      <c r="D41" s="482"/>
      <c r="E41" s="482"/>
      <c r="F41" s="482"/>
      <c r="G41" s="482"/>
      <c r="H41" s="482"/>
      <c r="I41" s="482"/>
      <c r="J41" s="482"/>
    </row>
    <row r="42" spans="1:10" ht="20.25" customHeight="1">
      <c r="A42" s="1306" t="s">
        <v>1457</v>
      </c>
      <c r="B42" s="1306"/>
      <c r="C42" s="1306"/>
      <c r="D42" s="1306"/>
      <c r="E42" s="1306"/>
      <c r="F42" s="1306"/>
      <c r="G42" s="1306"/>
      <c r="H42" s="1306"/>
      <c r="I42" s="1306"/>
      <c r="J42" s="1306"/>
    </row>
  </sheetData>
  <sheetProtection/>
  <mergeCells count="9">
    <mergeCell ref="A40:J40"/>
    <mergeCell ref="A42:J42"/>
    <mergeCell ref="A1:F1"/>
    <mergeCell ref="A3:A5"/>
    <mergeCell ref="B3:B5"/>
    <mergeCell ref="C4:C5"/>
    <mergeCell ref="D4:D5"/>
    <mergeCell ref="E4:E5"/>
    <mergeCell ref="F4:F5"/>
  </mergeCells>
  <printOptions/>
  <pageMargins left="0.42" right="0.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2016-11-28T03:57:21Z</cp:lastPrinted>
  <dcterms:created xsi:type="dcterms:W3CDTF">2011-04-15T11:23:49Z</dcterms:created>
  <dcterms:modified xsi:type="dcterms:W3CDTF">2016-11-28T07:47:09Z</dcterms:modified>
  <cp:category/>
  <cp:version/>
  <cp:contentType/>
  <cp:contentStatus/>
</cp:coreProperties>
</file>