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7795" windowHeight="12090" activeTab="1"/>
  </bookViews>
  <sheets>
    <sheet name="КПЭ основ 9 мес" sheetId="1" r:id="rId1"/>
    <sheet name="КПЭ допол9 мес" sheetId="2" r:id="rId2"/>
    <sheet name="Интеграл коэф 9мес 23 " sheetId="3" r:id="rId3"/>
  </sheets>
  <externalReferences>
    <externalReference r:id="rId4"/>
  </externalReferences>
  <definedNames>
    <definedName name="riskATSSboxGraph">FALSE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0.5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iskAutoStopPercChange">1.5</definedName>
    <definedName name="RiskCollectDistributionSamples">2</definedName>
    <definedName name="RiskExcelReportsGoInNewWorkbook">FALSE</definedName>
    <definedName name="RiskExcelReportsToGenerate">7167</definedName>
    <definedName name="RiskFixedSeed">1</definedName>
    <definedName name="RiskGenerateExcelReportsAtEndOfSimulation">TRUE</definedName>
    <definedName name="RiskHasSettings">TRUE</definedName>
    <definedName name="RiskMinimizeOnStart">FALSE</definedName>
    <definedName name="RiskMonitorConvergence">FALSE</definedName>
    <definedName name="RiskNumIterations">1000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баланс" localSheetId="2">#REF!</definedName>
    <definedName name="баланс" localSheetId="1">#REF!</definedName>
    <definedName name="баланс" localSheetId="0">#REF!</definedName>
    <definedName name="баланс">#REF!</definedName>
    <definedName name="сирье" localSheetId="2">#REF!</definedName>
    <definedName name="сирье" localSheetId="1">#REF!</definedName>
    <definedName name="сирье" localSheetId="0">#REF!</definedName>
    <definedName name="сирье">#REF!</definedName>
    <definedName name="Сырье" localSheetId="2">#REF!</definedName>
    <definedName name="Сырье" localSheetId="1">#REF!</definedName>
    <definedName name="Сырье" localSheetId="0">#REF!</definedName>
    <definedName name="Сырье">#REF!</definedName>
    <definedName name="ыодлпфврж" localSheetId="2">#REF!</definedName>
    <definedName name="ыодлпфврж" localSheetId="1">#REF!</definedName>
    <definedName name="ыодлпфврж" localSheetId="0">#REF!</definedName>
    <definedName name="ыодлпфврж">#REF!</definedName>
  </definedNames>
  <calcPr calcId="145621"/>
</workbook>
</file>

<file path=xl/calcChain.xml><?xml version="1.0" encoding="utf-8"?>
<calcChain xmlns="http://schemas.openxmlformats.org/spreadsheetml/2006/main">
  <c r="B6" i="3" l="1"/>
  <c r="B5" i="3"/>
  <c r="B7" i="3" s="1"/>
  <c r="L103" i="2"/>
  <c r="K103" i="2"/>
  <c r="J45" i="2" s="1"/>
  <c r="J43" i="2" s="1"/>
  <c r="H103" i="2"/>
  <c r="L98" i="2"/>
  <c r="K98" i="2"/>
  <c r="H98" i="2"/>
  <c r="I41" i="2" s="1"/>
  <c r="I39" i="2" s="1"/>
  <c r="M39" i="2" s="1"/>
  <c r="Q39" i="2" s="1"/>
  <c r="D87" i="2"/>
  <c r="C87" i="2"/>
  <c r="F86" i="2"/>
  <c r="G86" i="2" s="1"/>
  <c r="H86" i="2" s="1"/>
  <c r="F85" i="2"/>
  <c r="G85" i="2" s="1"/>
  <c r="M84" i="2"/>
  <c r="Q84" i="2" s="1"/>
  <c r="K84" i="2"/>
  <c r="J84" i="2"/>
  <c r="I84" i="2"/>
  <c r="E84" i="2"/>
  <c r="P81" i="2"/>
  <c r="T81" i="2" s="1"/>
  <c r="M81" i="2"/>
  <c r="Q81" i="2" s="1"/>
  <c r="K81" i="2"/>
  <c r="J81" i="2"/>
  <c r="I81" i="2"/>
  <c r="H81" i="2"/>
  <c r="G81" i="2"/>
  <c r="O81" i="2" s="1"/>
  <c r="S81" i="2" s="1"/>
  <c r="F81" i="2"/>
  <c r="N81" i="2" s="1"/>
  <c r="R81" i="2" s="1"/>
  <c r="E81" i="2"/>
  <c r="G78" i="2"/>
  <c r="H78" i="2" s="1"/>
  <c r="H77" i="2" s="1"/>
  <c r="P77" i="2" s="1"/>
  <c r="T77" i="2" s="1"/>
  <c r="N77" i="2"/>
  <c r="R77" i="2" s="1"/>
  <c r="M77" i="2"/>
  <c r="Q77" i="2" s="1"/>
  <c r="K77" i="2"/>
  <c r="J77" i="2"/>
  <c r="I77" i="2"/>
  <c r="F77" i="2"/>
  <c r="E77" i="2"/>
  <c r="K75" i="2"/>
  <c r="K73" i="2" s="1"/>
  <c r="O73" i="2" s="1"/>
  <c r="S73" i="2" s="1"/>
  <c r="J75" i="2"/>
  <c r="I75" i="2"/>
  <c r="H75" i="2"/>
  <c r="G75" i="2"/>
  <c r="F75" i="2"/>
  <c r="E75" i="2"/>
  <c r="H74" i="2"/>
  <c r="H73" i="2" s="1"/>
  <c r="P73" i="2" s="1"/>
  <c r="T73" i="2" s="1"/>
  <c r="G74" i="2"/>
  <c r="G73" i="2" s="1"/>
  <c r="F74" i="2"/>
  <c r="J73" i="2"/>
  <c r="N73" i="2" s="1"/>
  <c r="R73" i="2" s="1"/>
  <c r="F73" i="2"/>
  <c r="E73" i="2"/>
  <c r="F70" i="2"/>
  <c r="M69" i="2"/>
  <c r="Q69" i="2" s="1"/>
  <c r="K69" i="2"/>
  <c r="J69" i="2"/>
  <c r="I69" i="2"/>
  <c r="E69" i="2"/>
  <c r="F66" i="2"/>
  <c r="G66" i="2" s="1"/>
  <c r="H66" i="2" s="1"/>
  <c r="H65" i="2" s="1"/>
  <c r="P65" i="2" s="1"/>
  <c r="T65" i="2" s="1"/>
  <c r="K65" i="2"/>
  <c r="J65" i="2"/>
  <c r="F65" i="2"/>
  <c r="E65" i="2"/>
  <c r="S61" i="2"/>
  <c r="P61" i="2"/>
  <c r="T61" i="2" s="1"/>
  <c r="O61" i="2"/>
  <c r="K61" i="2"/>
  <c r="J61" i="2"/>
  <c r="I61" i="2"/>
  <c r="H61" i="2"/>
  <c r="G61" i="2"/>
  <c r="F61" i="2"/>
  <c r="N61" i="2" s="1"/>
  <c r="R61" i="2" s="1"/>
  <c r="E61" i="2"/>
  <c r="M61" i="2" s="1"/>
  <c r="Q61" i="2" s="1"/>
  <c r="I59" i="2"/>
  <c r="H59" i="2"/>
  <c r="G59" i="2"/>
  <c r="F59" i="2"/>
  <c r="E59" i="2"/>
  <c r="K57" i="2"/>
  <c r="I57" i="2"/>
  <c r="I56" i="2" s="1"/>
  <c r="M56" i="2" s="1"/>
  <c r="Q56" i="2" s="1"/>
  <c r="F57" i="2"/>
  <c r="G57" i="2" s="1"/>
  <c r="H57" i="2" s="1"/>
  <c r="H56" i="2" s="1"/>
  <c r="P56" i="2" s="1"/>
  <c r="T56" i="2" s="1"/>
  <c r="K56" i="2"/>
  <c r="J56" i="2"/>
  <c r="F56" i="2"/>
  <c r="E56" i="2"/>
  <c r="I54" i="2"/>
  <c r="H54" i="2"/>
  <c r="G54" i="2"/>
  <c r="F54" i="2"/>
  <c r="E54" i="2"/>
  <c r="G52" i="2"/>
  <c r="G51" i="2" s="1"/>
  <c r="F52" i="2"/>
  <c r="S51" i="2"/>
  <c r="O51" i="2"/>
  <c r="K51" i="2"/>
  <c r="J51" i="2"/>
  <c r="I51" i="2"/>
  <c r="F51" i="2"/>
  <c r="N51" i="2" s="1"/>
  <c r="R51" i="2" s="1"/>
  <c r="E51" i="2"/>
  <c r="M51" i="2" s="1"/>
  <c r="Q51" i="2" s="1"/>
  <c r="O47" i="2"/>
  <c r="S47" i="2" s="1"/>
  <c r="N47" i="2"/>
  <c r="R47" i="2" s="1"/>
  <c r="K47" i="2"/>
  <c r="J47" i="2"/>
  <c r="I47" i="2"/>
  <c r="M47" i="2" s="1"/>
  <c r="Q47" i="2" s="1"/>
  <c r="H47" i="2"/>
  <c r="P47" i="2" s="1"/>
  <c r="T47" i="2" s="1"/>
  <c r="G47" i="2"/>
  <c r="F47" i="2"/>
  <c r="E47" i="2"/>
  <c r="K45" i="2"/>
  <c r="I45" i="2"/>
  <c r="K44" i="2"/>
  <c r="K43" i="2" s="1"/>
  <c r="I44" i="2"/>
  <c r="I43" i="2" s="1"/>
  <c r="M43" i="2" s="1"/>
  <c r="Q43" i="2" s="1"/>
  <c r="F44" i="2"/>
  <c r="E43" i="2"/>
  <c r="K41" i="2"/>
  <c r="K39" i="2" s="1"/>
  <c r="J41" i="2"/>
  <c r="I40" i="2"/>
  <c r="G40" i="2"/>
  <c r="G39" i="2" s="1"/>
  <c r="F40" i="2"/>
  <c r="S39" i="2"/>
  <c r="O39" i="2"/>
  <c r="J39" i="2"/>
  <c r="N39" i="2" s="1"/>
  <c r="R39" i="2" s="1"/>
  <c r="F39" i="2"/>
  <c r="E39" i="2"/>
  <c r="F37" i="2"/>
  <c r="G37" i="2" s="1"/>
  <c r="H37" i="2" s="1"/>
  <c r="F36" i="2"/>
  <c r="G36" i="2" s="1"/>
  <c r="H36" i="2" s="1"/>
  <c r="G35" i="2"/>
  <c r="H35" i="2" s="1"/>
  <c r="F35" i="2"/>
  <c r="F34" i="2"/>
  <c r="F33" i="2" s="1"/>
  <c r="F31" i="2" s="1"/>
  <c r="F29" i="2" s="1"/>
  <c r="K33" i="2"/>
  <c r="J33" i="2"/>
  <c r="I33" i="2"/>
  <c r="I31" i="2" s="1"/>
  <c r="E33" i="2"/>
  <c r="E31" i="2" s="1"/>
  <c r="E29" i="2" s="1"/>
  <c r="M29" i="2" s="1"/>
  <c r="Q29" i="2" s="1"/>
  <c r="F32" i="2"/>
  <c r="G32" i="2" s="1"/>
  <c r="H32" i="2" s="1"/>
  <c r="K31" i="2"/>
  <c r="K29" i="2" s="1"/>
  <c r="J31" i="2"/>
  <c r="J29" i="2" s="1"/>
  <c r="I29" i="2"/>
  <c r="I28" i="2"/>
  <c r="F26" i="2"/>
  <c r="G26" i="2" s="1"/>
  <c r="H26" i="2" s="1"/>
  <c r="K25" i="2"/>
  <c r="J25" i="2"/>
  <c r="J28" i="2" s="1"/>
  <c r="J24" i="2"/>
  <c r="K23" i="2"/>
  <c r="J23" i="2"/>
  <c r="I23" i="2"/>
  <c r="I25" i="2" s="1"/>
  <c r="I24" i="2" s="1"/>
  <c r="M24" i="2" s="1"/>
  <c r="Q24" i="2" s="1"/>
  <c r="E23" i="2"/>
  <c r="E25" i="2" s="1"/>
  <c r="E24" i="2" s="1"/>
  <c r="F21" i="2"/>
  <c r="G21" i="2" s="1"/>
  <c r="H21" i="2" s="1"/>
  <c r="G17" i="2"/>
  <c r="H17" i="2" s="1"/>
  <c r="F17" i="2"/>
  <c r="F16" i="2"/>
  <c r="F23" i="2" s="1"/>
  <c r="F28" i="2" s="1"/>
  <c r="K14" i="2"/>
  <c r="J14" i="2"/>
  <c r="E14" i="2"/>
  <c r="D45" i="1"/>
  <c r="C45" i="1"/>
  <c r="Q40" i="1"/>
  <c r="P40" i="1"/>
  <c r="T40" i="1" s="1"/>
  <c r="K40" i="1"/>
  <c r="O40" i="1" s="1"/>
  <c r="S40" i="1" s="1"/>
  <c r="J40" i="1"/>
  <c r="N40" i="1" s="1"/>
  <c r="R40" i="1" s="1"/>
  <c r="H40" i="1"/>
  <c r="G40" i="1"/>
  <c r="F40" i="1"/>
  <c r="E40" i="1"/>
  <c r="Q39" i="1"/>
  <c r="P39" i="1"/>
  <c r="T39" i="1" s="1"/>
  <c r="O39" i="1"/>
  <c r="S39" i="1" s="1"/>
  <c r="N39" i="1"/>
  <c r="R39" i="1" s="1"/>
  <c r="I38" i="1"/>
  <c r="K37" i="1"/>
  <c r="J37" i="1"/>
  <c r="I37" i="1"/>
  <c r="K36" i="1"/>
  <c r="K35" i="1" s="1"/>
  <c r="O35" i="1" s="1"/>
  <c r="S35" i="1" s="1"/>
  <c r="J36" i="1"/>
  <c r="I36" i="1"/>
  <c r="I35" i="1" s="1"/>
  <c r="M35" i="1" s="1"/>
  <c r="Q35" i="1" s="1"/>
  <c r="P35" i="1"/>
  <c r="T35" i="1" s="1"/>
  <c r="J35" i="1"/>
  <c r="N35" i="1" s="1"/>
  <c r="R35" i="1" s="1"/>
  <c r="H35" i="1"/>
  <c r="G35" i="1"/>
  <c r="F35" i="1"/>
  <c r="E35" i="1"/>
  <c r="I33" i="1"/>
  <c r="K32" i="1"/>
  <c r="J32" i="1"/>
  <c r="I32" i="1"/>
  <c r="K31" i="1"/>
  <c r="K30" i="1" s="1"/>
  <c r="O30" i="1" s="1"/>
  <c r="S30" i="1" s="1"/>
  <c r="J31" i="1"/>
  <c r="J30" i="1" s="1"/>
  <c r="N30" i="1" s="1"/>
  <c r="R30" i="1" s="1"/>
  <c r="I31" i="1"/>
  <c r="I30" i="1" s="1"/>
  <c r="M30" i="1" s="1"/>
  <c r="Q30" i="1" s="1"/>
  <c r="H30" i="1"/>
  <c r="P30" i="1" s="1"/>
  <c r="T30" i="1" s="1"/>
  <c r="G30" i="1"/>
  <c r="F30" i="1"/>
  <c r="E30" i="1"/>
  <c r="F26" i="1"/>
  <c r="G26" i="1" s="1"/>
  <c r="H26" i="1" s="1"/>
  <c r="G25" i="1"/>
  <c r="F25" i="1"/>
  <c r="N24" i="1"/>
  <c r="R24" i="1" s="1"/>
  <c r="K24" i="1"/>
  <c r="J24" i="1"/>
  <c r="I24" i="1"/>
  <c r="M24" i="1" s="1"/>
  <c r="Q24" i="1" s="1"/>
  <c r="F24" i="1"/>
  <c r="E24" i="1"/>
  <c r="F22" i="1"/>
  <c r="G22" i="1" s="1"/>
  <c r="H22" i="1" s="1"/>
  <c r="F21" i="1"/>
  <c r="G21" i="1" s="1"/>
  <c r="M20" i="1"/>
  <c r="Q20" i="1" s="1"/>
  <c r="K20" i="1"/>
  <c r="J20" i="1"/>
  <c r="I20" i="1"/>
  <c r="F20" i="1"/>
  <c r="N20" i="1" s="1"/>
  <c r="R20" i="1" s="1"/>
  <c r="E20" i="1"/>
  <c r="K19" i="1"/>
  <c r="J19" i="1"/>
  <c r="J17" i="1" s="1"/>
  <c r="I19" i="1"/>
  <c r="I17" i="1" s="1"/>
  <c r="M17" i="1" s="1"/>
  <c r="Q17" i="1" s="1"/>
  <c r="F18" i="1"/>
  <c r="F17" i="1" s="1"/>
  <c r="K17" i="1"/>
  <c r="E17" i="1"/>
  <c r="Q16" i="1"/>
  <c r="M15" i="1"/>
  <c r="Q15" i="1" s="1"/>
  <c r="F15" i="1"/>
  <c r="G15" i="1" s="1"/>
  <c r="M14" i="1"/>
  <c r="Q14" i="1" s="1"/>
  <c r="G14" i="1"/>
  <c r="H14" i="1" s="1"/>
  <c r="P14" i="1" s="1"/>
  <c r="T14" i="1" s="1"/>
  <c r="F14" i="1"/>
  <c r="N14" i="1" s="1"/>
  <c r="R14" i="1" s="1"/>
  <c r="O29" i="2" l="1"/>
  <c r="S29" i="2" s="1"/>
  <c r="N29" i="2"/>
  <c r="R29" i="2" s="1"/>
  <c r="K24" i="2"/>
  <c r="K28" i="2"/>
  <c r="F14" i="2"/>
  <c r="N14" i="2" s="1"/>
  <c r="R14" i="2" s="1"/>
  <c r="G16" i="2"/>
  <c r="F25" i="2"/>
  <c r="G65" i="2"/>
  <c r="O65" i="2" s="1"/>
  <c r="S65" i="2" s="1"/>
  <c r="G70" i="2"/>
  <c r="F69" i="2"/>
  <c r="N69" i="2" s="1"/>
  <c r="R69" i="2" s="1"/>
  <c r="G84" i="2"/>
  <c r="O84" i="2" s="1"/>
  <c r="S84" i="2" s="1"/>
  <c r="H85" i="2"/>
  <c r="H84" i="2" s="1"/>
  <c r="P84" i="2" s="1"/>
  <c r="T84" i="2" s="1"/>
  <c r="F24" i="2"/>
  <c r="N24" i="2" s="1"/>
  <c r="R24" i="2" s="1"/>
  <c r="G34" i="2"/>
  <c r="N56" i="2"/>
  <c r="R56" i="2" s="1"/>
  <c r="N65" i="2"/>
  <c r="R65" i="2" s="1"/>
  <c r="I66" i="2"/>
  <c r="I14" i="2"/>
  <c r="M14" i="2" s="1"/>
  <c r="Q14" i="2" s="1"/>
  <c r="E28" i="2"/>
  <c r="H40" i="2"/>
  <c r="H39" i="2" s="1"/>
  <c r="P39" i="2" s="1"/>
  <c r="T39" i="2" s="1"/>
  <c r="F43" i="2"/>
  <c r="N43" i="2" s="1"/>
  <c r="R43" i="2" s="1"/>
  <c r="G44" i="2"/>
  <c r="H52" i="2"/>
  <c r="H51" i="2" s="1"/>
  <c r="P51" i="2" s="1"/>
  <c r="T51" i="2" s="1"/>
  <c r="G56" i="2"/>
  <c r="O56" i="2" s="1"/>
  <c r="S56" i="2" s="1"/>
  <c r="O77" i="2"/>
  <c r="S77" i="2" s="1"/>
  <c r="F84" i="2"/>
  <c r="N84" i="2" s="1"/>
  <c r="R84" i="2" s="1"/>
  <c r="G77" i="2"/>
  <c r="Q45" i="1"/>
  <c r="N17" i="1"/>
  <c r="R17" i="1" s="1"/>
  <c r="G20" i="1"/>
  <c r="H21" i="1"/>
  <c r="H20" i="1" s="1"/>
  <c r="O15" i="1"/>
  <c r="S15" i="1" s="1"/>
  <c r="H15" i="1"/>
  <c r="P15" i="1" s="1"/>
  <c r="T15" i="1" s="1"/>
  <c r="G24" i="1"/>
  <c r="O24" i="1" s="1"/>
  <c r="S24" i="1" s="1"/>
  <c r="O14" i="1"/>
  <c r="S14" i="1" s="1"/>
  <c r="H25" i="1"/>
  <c r="H24" i="1" s="1"/>
  <c r="P24" i="1" s="1"/>
  <c r="T24" i="1" s="1"/>
  <c r="N15" i="1"/>
  <c r="R15" i="1" s="1"/>
  <c r="R45" i="1" s="1"/>
  <c r="G18" i="1"/>
  <c r="R88" i="2" l="1"/>
  <c r="H34" i="2"/>
  <c r="H33" i="2" s="1"/>
  <c r="H31" i="2" s="1"/>
  <c r="H29" i="2" s="1"/>
  <c r="P29" i="2" s="1"/>
  <c r="T29" i="2" s="1"/>
  <c r="G33" i="2"/>
  <c r="G31" i="2" s="1"/>
  <c r="G29" i="2" s="1"/>
  <c r="I74" i="2"/>
  <c r="I73" i="2" s="1"/>
  <c r="M73" i="2" s="1"/>
  <c r="Q73" i="2" s="1"/>
  <c r="I65" i="2"/>
  <c r="M65" i="2" s="1"/>
  <c r="Q65" i="2" s="1"/>
  <c r="Q88" i="2" s="1"/>
  <c r="G23" i="2"/>
  <c r="H16" i="2"/>
  <c r="H23" i="2" s="1"/>
  <c r="H70" i="2"/>
  <c r="H69" i="2" s="1"/>
  <c r="P69" i="2" s="1"/>
  <c r="T69" i="2" s="1"/>
  <c r="G69" i="2"/>
  <c r="O69" i="2" s="1"/>
  <c r="S69" i="2" s="1"/>
  <c r="H44" i="2"/>
  <c r="H43" i="2" s="1"/>
  <c r="P43" i="2" s="1"/>
  <c r="T43" i="2" s="1"/>
  <c r="G43" i="2"/>
  <c r="O43" i="2" s="1"/>
  <c r="S43" i="2" s="1"/>
  <c r="G17" i="1"/>
  <c r="O17" i="1" s="1"/>
  <c r="S17" i="1" s="1"/>
  <c r="S45" i="1" s="1"/>
  <c r="H18" i="1"/>
  <c r="H17" i="1" s="1"/>
  <c r="P17" i="1" s="1"/>
  <c r="T17" i="1" s="1"/>
  <c r="T45" i="1" s="1"/>
  <c r="O20" i="1"/>
  <c r="S20" i="1" s="1"/>
  <c r="P20" i="1"/>
  <c r="T20" i="1" s="1"/>
  <c r="H25" i="2" l="1"/>
  <c r="H24" i="2"/>
  <c r="P24" i="2" s="1"/>
  <c r="T24" i="2" s="1"/>
  <c r="H28" i="2"/>
  <c r="H14" i="2"/>
  <c r="P14" i="2" s="1"/>
  <c r="T14" i="2" s="1"/>
  <c r="G28" i="2"/>
  <c r="G14" i="2"/>
  <c r="O14" i="2" s="1"/>
  <c r="S14" i="2" s="1"/>
  <c r="G24" i="2"/>
  <c r="O24" i="2" s="1"/>
  <c r="S24" i="2" s="1"/>
  <c r="G25" i="2"/>
  <c r="S88" i="2" l="1"/>
  <c r="T88" i="2"/>
</calcChain>
</file>

<file path=xl/sharedStrings.xml><?xml version="1.0" encoding="utf-8"?>
<sst xmlns="http://schemas.openxmlformats.org/spreadsheetml/2006/main" count="284" uniqueCount="187">
  <si>
    <t xml:space="preserve">               " Одобрен "</t>
  </si>
  <si>
    <t xml:space="preserve">                "Утверждаю"</t>
  </si>
  <si>
    <t xml:space="preserve"> Наблюдательным Советом</t>
  </si>
  <si>
    <t xml:space="preserve">               Председатель правления</t>
  </si>
  <si>
    <t>Председатель Наблюдательного Совета</t>
  </si>
  <si>
    <t xml:space="preserve">               АО "Biokimyo"</t>
  </si>
  <si>
    <t>__________________Р.А.Аликулов</t>
  </si>
  <si>
    <t xml:space="preserve">          _________________Р.А.Аликулов</t>
  </si>
  <si>
    <t xml:space="preserve">  </t>
  </si>
  <si>
    <t>"_____"______________2023 г</t>
  </si>
  <si>
    <t xml:space="preserve">          "______"_____________2023г</t>
  </si>
  <si>
    <t>ПЕРЕЧЕНЬ</t>
  </si>
  <si>
    <t xml:space="preserve">             основных ключевых показателей эффективности за 9 месяцев 2023год                                                 по  АО "Biokimyo"                                                                                               </t>
  </si>
  <si>
    <t>тыс сум</t>
  </si>
  <si>
    <t>№</t>
  </si>
  <si>
    <t>Показатель</t>
  </si>
  <si>
    <t>Удельный вес</t>
  </si>
  <si>
    <t>Удельный вес на 1кв 2022г</t>
  </si>
  <si>
    <t xml:space="preserve"> 9 месяцев 2023г</t>
  </si>
  <si>
    <t>в том числе по кварталам</t>
  </si>
  <si>
    <t xml:space="preserve">Прогноз             </t>
  </si>
  <si>
    <t>Факт</t>
  </si>
  <si>
    <t>Процент выполнения</t>
  </si>
  <si>
    <t>% выполнения</t>
  </si>
  <si>
    <t>КПЭ F=E*B/100</t>
  </si>
  <si>
    <t>1 квартал 2023г</t>
  </si>
  <si>
    <t>1 полугодие 2023г</t>
  </si>
  <si>
    <t>2023год</t>
  </si>
  <si>
    <t>В</t>
  </si>
  <si>
    <t>С</t>
  </si>
  <si>
    <t>D</t>
  </si>
  <si>
    <t>Е</t>
  </si>
  <si>
    <t>I</t>
  </si>
  <si>
    <t>Выполнение прогноза чистой выручки от реализации</t>
  </si>
  <si>
    <t>D/С*100</t>
  </si>
  <si>
    <t>II</t>
  </si>
  <si>
    <t xml:space="preserve">Выполнение прогноза чистой прибыли </t>
  </si>
  <si>
    <t>III</t>
  </si>
  <si>
    <t>Рентабельность активов</t>
  </si>
  <si>
    <t>Крр= Пудн/Аср</t>
  </si>
  <si>
    <t>1. Пудн- прибыль до уплаты налога на прибыль (гр 5, стр 240 или убыток со знаком минус гр 6 стр240 формы№2 " Отчет о финансовых результатах")</t>
  </si>
  <si>
    <t xml:space="preserve">2. Аср- среднеарифметическая величина стоимости активов, расчитываемая по формуле             Аср=(А1+А2)/2, где                                     А1-стоимость активов на начало периода(гр3 стр 400 формы№1                                " Бухгалтерский баланс";                                    А2 - стоимость активов на конец периода(гр4 стр 400 формы№1                            " Бухгалтерский баланс";                    </t>
  </si>
  <si>
    <t>IV</t>
  </si>
  <si>
    <t xml:space="preserve">Снижение себестоимости продукции (в процентах к установленному заданию) З=СП/ТПх100       </t>
  </si>
  <si>
    <t>C/D*100</t>
  </si>
  <si>
    <t xml:space="preserve"> Сп- сумма полной себестоимости товарной продукции,   по ф№2 стр 020                                        </t>
  </si>
  <si>
    <t xml:space="preserve">        Тп- сумма товарной продукции в действующих ценах по ф№2 стр 010</t>
  </si>
  <si>
    <t>V</t>
  </si>
  <si>
    <t>Коэффициент использования производственных мощностей (ниже 0,5 ,   то низкий уровень использования производственных мощностей)</t>
  </si>
  <si>
    <t>Ким=Qфакт / ((Qпроект-(Qаренд+Qконсерв))</t>
  </si>
  <si>
    <t>D/С*101</t>
  </si>
  <si>
    <r>
      <rPr>
        <b/>
        <sz val="10"/>
        <rFont val="Times New Roman"/>
        <family val="1"/>
        <charset val="204"/>
      </rPr>
      <t xml:space="preserve">Qфакт </t>
    </r>
    <r>
      <rPr>
        <sz val="10"/>
        <rFont val="Times New Roman"/>
        <family val="1"/>
        <charset val="204"/>
      </rPr>
      <t>- фактический объем выпущенной продукции за отчетный период в сопоставимом стоимостном выражении</t>
    </r>
  </si>
  <si>
    <r>
      <rPr>
        <b/>
        <sz val="10"/>
        <rFont val="Times New Roman"/>
        <family val="1"/>
        <charset val="204"/>
      </rPr>
      <t>Qпроект</t>
    </r>
    <r>
      <rPr>
        <sz val="10"/>
        <rFont val="Times New Roman"/>
        <family val="1"/>
        <charset val="204"/>
      </rPr>
      <t>- максимальный объём выпуска продукции за установленный период времени в сопоставимом стоимостном выражении,который может достигнут при полном использовании основного технологического оборудования</t>
    </r>
  </si>
  <si>
    <r>
      <rPr>
        <b/>
        <sz val="10"/>
        <rFont val="Times New Roman"/>
        <family val="1"/>
        <charset val="204"/>
      </rPr>
      <t>Qаренд</t>
    </r>
    <r>
      <rPr>
        <sz val="10"/>
        <rFont val="Times New Roman"/>
        <family val="1"/>
        <charset val="204"/>
      </rPr>
      <t>-- объёмы продукции (сопоставимые ), приходящиеся на мощности , сданные в аренду</t>
    </r>
  </si>
  <si>
    <r>
      <rPr>
        <b/>
        <sz val="10"/>
        <rFont val="Times New Roman"/>
        <family val="1"/>
        <charset val="204"/>
      </rPr>
      <t xml:space="preserve">Qконсерв </t>
    </r>
    <r>
      <rPr>
        <sz val="10"/>
        <rFont val="Times New Roman"/>
        <family val="1"/>
        <charset val="204"/>
      </rPr>
      <t>- объёмы продукции (сопоставимые ), приходящиеся на законсервированные мощности</t>
    </r>
  </si>
  <si>
    <t>VI</t>
  </si>
  <si>
    <t>Коэффициент покрытия (платежеспособности)</t>
  </si>
  <si>
    <t>Кпл=А2 / (П2-До)</t>
  </si>
  <si>
    <t>1. А2 -текущие активы разд II актива баланса стр 390</t>
  </si>
  <si>
    <t>2. П2 - обязательства , раздел II пассива баланса , стр 770</t>
  </si>
  <si>
    <t>3.До - долгосрочные обязательства стр 490  Бухгалтерского баланса</t>
  </si>
  <si>
    <t>VII</t>
  </si>
  <si>
    <t>Коэффициент финансовой независимости</t>
  </si>
  <si>
    <t>Ксс= П1 /(П2-До) больше 1</t>
  </si>
  <si>
    <t>1. П1 - источники собственных средств, итог раздела I пассива баланса,стр 480</t>
  </si>
  <si>
    <t>3. До - долгосрочные обязательства стр 490 бухгалтерского баланса</t>
  </si>
  <si>
    <t>VIII</t>
  </si>
  <si>
    <t>Расчет дивидентов</t>
  </si>
  <si>
    <t>IX</t>
  </si>
  <si>
    <t>Рентабельность инвестиций акционеров (TSR)</t>
  </si>
  <si>
    <t>(Цена акции в конце периода - цена акции в начале периода + выплаченные в течении периода дивиденды) /цена акции вначале периода</t>
  </si>
  <si>
    <t>Цена акции  в начале периода</t>
  </si>
  <si>
    <t>Цена акции  в конце периода</t>
  </si>
  <si>
    <t>Дивиденды в течении периода</t>
  </si>
  <si>
    <t xml:space="preserve">Главный бухгалтер </t>
  </si>
  <si>
    <t>М.Ю.Каратаева</t>
  </si>
  <si>
    <t>Начальник  ОСПРБ</t>
  </si>
  <si>
    <t>З.Л.Ряховская</t>
  </si>
  <si>
    <t>на нач года</t>
  </si>
  <si>
    <t>на конец 1кв</t>
  </si>
  <si>
    <t>1полугодие</t>
  </si>
  <si>
    <t>9 месяцев</t>
  </si>
  <si>
    <t>стр 390</t>
  </si>
  <si>
    <t>стр 400</t>
  </si>
  <si>
    <t>стр 480</t>
  </si>
  <si>
    <t>стр 490</t>
  </si>
  <si>
    <t>стр 770</t>
  </si>
  <si>
    <t xml:space="preserve">          дополнительных ключевых показателей эффективности за 9 месяцев 2023год                                                          по  АО "Biokimyo"                                                                                              </t>
  </si>
  <si>
    <t>Удельный вес на 1кв 2023г</t>
  </si>
  <si>
    <t>9 месяцев 2023 год</t>
  </si>
  <si>
    <t xml:space="preserve">Прибыль до вычета процентов , налогов (EBIT-Earnigs Before Interest, Taxes) </t>
  </si>
  <si>
    <t>1 Чистая прибыль +</t>
  </si>
  <si>
    <t>2 Расходы по налогу на прибыль+</t>
  </si>
  <si>
    <t>Возмещенный налог на прибыль -</t>
  </si>
  <si>
    <t>(+Чрезвычайные расходы)</t>
  </si>
  <si>
    <t>(- Чрезвычайные доходы)</t>
  </si>
  <si>
    <t>3 Проценты уплаченные +</t>
  </si>
  <si>
    <t xml:space="preserve">   Проценты полученные -</t>
  </si>
  <si>
    <t>EBIT =(1+2+3)</t>
  </si>
  <si>
    <t xml:space="preserve">Прибыль до вычета процентов , налогов и амортизация (EBITDA-Earnigs Before Interest, Taxes,  Depreciation&amp; Amortization) </t>
  </si>
  <si>
    <t>1. EBIT</t>
  </si>
  <si>
    <t>2 Амортизационные отчисления по материальным и нематериальным активам +</t>
  </si>
  <si>
    <t>3.Переоценка активов</t>
  </si>
  <si>
    <t>EBITDA =(I+2+3)</t>
  </si>
  <si>
    <t xml:space="preserve">Соотношение затрат и доходов (CIR) </t>
  </si>
  <si>
    <t>(Операционные расходы/Выручка)</t>
  </si>
  <si>
    <t xml:space="preserve">  Операциоонные расходы(1+2) :</t>
  </si>
  <si>
    <t>1 Себестоимость продаж+</t>
  </si>
  <si>
    <t xml:space="preserve">2 Расходы периода + </t>
  </si>
  <si>
    <t>в т.ч.Расходы по реализации</t>
  </si>
  <si>
    <t xml:space="preserve">Административные расходы </t>
  </si>
  <si>
    <t>Прочие операционные расходы</t>
  </si>
  <si>
    <t>3.Выручка</t>
  </si>
  <si>
    <t>Рентабельность привлеченного капитала (ROCE)</t>
  </si>
  <si>
    <t>(Чистая прибыль / Привлеченный капитал на начало и конец периода)</t>
  </si>
  <si>
    <t>1 Чистая прибыль</t>
  </si>
  <si>
    <t>2 Привлеченный капитал на начало и конец периода</t>
  </si>
  <si>
    <t>Рентабельность акционерного капитала (ROE)</t>
  </si>
  <si>
    <t xml:space="preserve">(Чистая прибыль/Cреднегодовой акционерный капитал </t>
  </si>
  <si>
    <t xml:space="preserve">2 Cреднегодовой акционерный капитал </t>
  </si>
  <si>
    <t xml:space="preserve">Коэффициент абсолютной ликвидности </t>
  </si>
  <si>
    <r>
      <t xml:space="preserve">(Рекомендуемая нижняя граница этого показателя -0,2, т.е. выполняется условие                             Кал больше 0,2)                                               </t>
    </r>
    <r>
      <rPr>
        <b/>
        <sz val="10"/>
        <rFont val="Times New Roman"/>
        <family val="1"/>
        <charset val="204"/>
      </rPr>
      <t xml:space="preserve"> Кал = Дс / То</t>
    </r>
  </si>
  <si>
    <t>1. Дс - денежные средства - сумма строк раздела актива баланса , стр 320 (стр330+340+350+360)</t>
  </si>
  <si>
    <t xml:space="preserve">2. То- текущие обязательства,       стр 600 II раздела пассива баланса </t>
  </si>
  <si>
    <t>Оборачиваемость кредиторской задолженности в днях</t>
  </si>
  <si>
    <t>Окр дн = Дп / (Вр / Кз ср)</t>
  </si>
  <si>
    <t>1. Вр - чистая выручка от реализации продукции отчетного периода стр 010,гр 5 форма №2 " Отчет о финансовых результатах"</t>
  </si>
  <si>
    <t>2. Дл- количество календарных дней в периоде</t>
  </si>
  <si>
    <r>
      <t xml:space="preserve">3.  Кз ср - среднее арифметическое значение </t>
    </r>
    <r>
      <rPr>
        <b/>
        <sz val="10"/>
        <rFont val="Times New Roman"/>
        <family val="1"/>
        <charset val="204"/>
      </rPr>
      <t xml:space="preserve">кредиторской </t>
    </r>
    <r>
      <rPr>
        <sz val="10"/>
        <rFont val="Times New Roman"/>
        <family val="1"/>
        <charset val="204"/>
      </rPr>
      <t>задолженности( половина от суммы значений на начало и конец периода по стр 601 раздела II пассива баланса формы №1 " Бухгалтерский баланс"</t>
    </r>
  </si>
  <si>
    <t>Оборачиваемость дебиторской задолженности в днях</t>
  </si>
  <si>
    <t>Одз дн = Дп / (Вр / Дз ср</t>
  </si>
  <si>
    <t>C/D*101</t>
  </si>
  <si>
    <r>
      <t xml:space="preserve">3.  Дз ср - среднее арифметическое значение </t>
    </r>
    <r>
      <rPr>
        <b/>
        <sz val="10"/>
        <rFont val="Times New Roman"/>
        <family val="1"/>
        <charset val="204"/>
      </rPr>
      <t xml:space="preserve">дебиторской </t>
    </r>
    <r>
      <rPr>
        <sz val="10"/>
        <rFont val="Times New Roman"/>
        <family val="1"/>
        <charset val="204"/>
      </rPr>
      <t>задолженности( половина от суммы значений на начало и конец периода по стр 210 раздела II актива баланса формы №1                                                              " Бухгалтерский баланс"</t>
    </r>
  </si>
  <si>
    <t>Коэффициент износа основных средств          (превышает 0,5 значительная изношенность оборудования)</t>
  </si>
  <si>
    <t>Кизн = И / О</t>
  </si>
  <si>
    <r>
      <rPr>
        <b/>
        <sz val="10"/>
        <rFont val="Times New Roman"/>
        <family val="1"/>
        <charset val="204"/>
      </rPr>
      <t xml:space="preserve">И </t>
    </r>
    <r>
      <rPr>
        <sz val="10"/>
        <rFont val="Times New Roman"/>
        <family val="1"/>
        <charset val="204"/>
      </rPr>
      <t>- износ основных средств - строка 011 формы№1 "Бухгалтерский баланс"</t>
    </r>
  </si>
  <si>
    <r>
      <t xml:space="preserve">О - </t>
    </r>
    <r>
      <rPr>
        <sz val="10"/>
        <rFont val="Times New Roman"/>
        <family val="1"/>
        <charset val="204"/>
      </rPr>
      <t xml:space="preserve">первоначальная стоимость основных средств- строка010 формы№1 " Бухгалтерский баланс" </t>
    </r>
  </si>
  <si>
    <t>X</t>
  </si>
  <si>
    <t>Производительность труда</t>
  </si>
  <si>
    <t>Вч= Вр / Чср</t>
  </si>
  <si>
    <r>
      <t xml:space="preserve">1 </t>
    </r>
    <r>
      <rPr>
        <b/>
        <sz val="10"/>
        <rFont val="Times New Roman"/>
        <family val="1"/>
        <charset val="204"/>
      </rPr>
      <t>Вр</t>
    </r>
    <r>
      <rPr>
        <sz val="10"/>
        <rFont val="Times New Roman"/>
        <family val="1"/>
        <charset val="204"/>
      </rPr>
      <t xml:space="preserve">- чистая выручка от реализации продукции отчетного периода ,сум;(стр 010, гр 5 формы 2 "Отчет о финансовых результатах" </t>
    </r>
  </si>
  <si>
    <r>
      <t xml:space="preserve">2 </t>
    </r>
    <r>
      <rPr>
        <b/>
        <sz val="10"/>
        <rFont val="Times New Roman"/>
        <family val="1"/>
        <charset val="204"/>
      </rPr>
      <t>Чср -</t>
    </r>
    <r>
      <rPr>
        <sz val="10"/>
        <rFont val="Times New Roman"/>
        <family val="1"/>
        <charset val="204"/>
      </rPr>
      <t xml:space="preserve"> среднесписочная численность сотрудников организации </t>
    </r>
  </si>
  <si>
    <t>XI</t>
  </si>
  <si>
    <t xml:space="preserve">Коэффициент обновления  основных средств                                 </t>
  </si>
  <si>
    <t>Кн = Ан / Аос к</t>
  </si>
  <si>
    <r>
      <rPr>
        <b/>
        <sz val="10"/>
        <rFont val="Times New Roman"/>
        <family val="1"/>
        <charset val="204"/>
      </rPr>
      <t xml:space="preserve">Ан </t>
    </r>
    <r>
      <rPr>
        <sz val="10"/>
        <rFont val="Times New Roman"/>
        <family val="1"/>
        <charset val="204"/>
      </rPr>
      <t>- балансовая стоимость поступивших за период основных средств (строка 101, гр2 формы статотчетности 2- moliya "Отчет о наличии и движении основных средств и других нефинансовых активов"</t>
    </r>
  </si>
  <si>
    <r>
      <t xml:space="preserve">Аос к </t>
    </r>
    <r>
      <rPr>
        <sz val="10"/>
        <rFont val="Times New Roman"/>
        <family val="1"/>
        <charset val="204"/>
      </rPr>
      <t xml:space="preserve">-балансовая остаточная стоимость всех основных средств на конец периода (стр 101, гр 9  формы статотчетности  2- moliya "Отчет о наличии и движении основных средств и других нефинансовых активов" </t>
    </r>
  </si>
  <si>
    <t>XII</t>
  </si>
  <si>
    <t>Фондоотдача</t>
  </si>
  <si>
    <t>Фо= Вр / Фср</t>
  </si>
  <si>
    <r>
      <t xml:space="preserve">2 </t>
    </r>
    <r>
      <rPr>
        <b/>
        <sz val="10"/>
        <rFont val="Times New Roman"/>
        <family val="1"/>
        <charset val="204"/>
      </rPr>
      <t xml:space="preserve">Фср </t>
    </r>
    <r>
      <rPr>
        <sz val="10"/>
        <rFont val="Times New Roman"/>
        <family val="1"/>
        <charset val="204"/>
      </rPr>
      <t>- среднеарифметическая величина ОС за отчетный период. Определяется по формуле        Фср= (Ф1+ Ф2) / 2, где   Ф1 и Ф2 - стоимость ОС на начало и конец отчетного периода ,сум; стр 012, гр 3 и 4 форма№1 "Бухгалтерский баланс"</t>
    </r>
  </si>
  <si>
    <t>XIII</t>
  </si>
  <si>
    <t>Затраты на обучение персонала , в расчете на одного работника</t>
  </si>
  <si>
    <t>Зобуч / Чср</t>
  </si>
  <si>
    <t xml:space="preserve">1.Зобуч -  затраты на обучение персонала </t>
  </si>
  <si>
    <t xml:space="preserve">2. Чср- среднесписочная численность сотрудников организации </t>
  </si>
  <si>
    <t>XIV</t>
  </si>
  <si>
    <t xml:space="preserve">Коэффициент текучести кадров </t>
  </si>
  <si>
    <t>Чнач / Чкон</t>
  </si>
  <si>
    <t>1. Чнач и Чкон - численность сотрудников организации на начало и конец периода</t>
  </si>
  <si>
    <t>329 /   327</t>
  </si>
  <si>
    <t>329  /   325</t>
  </si>
  <si>
    <t>329  /   321</t>
  </si>
  <si>
    <t>329  /   315</t>
  </si>
  <si>
    <t>XV</t>
  </si>
  <si>
    <t>Энергоэффективность (доля затрат на энергию в структуре себестоимости продукции)</t>
  </si>
  <si>
    <t>Зз / Зп</t>
  </si>
  <si>
    <r>
      <rPr>
        <b/>
        <sz val="10"/>
        <rFont val="Times New Roman"/>
        <family val="1"/>
        <charset val="204"/>
      </rPr>
      <t xml:space="preserve">Зз </t>
    </r>
    <r>
      <rPr>
        <sz val="10"/>
        <rFont val="Times New Roman"/>
        <family val="1"/>
        <charset val="204"/>
      </rPr>
      <t>- совокупная стоимость затрат производственного назначения на горюче-смазочные материалы , теплоснабжение, потребление электричества, газоснабжение</t>
    </r>
  </si>
  <si>
    <r>
      <rPr>
        <b/>
        <sz val="10"/>
        <rFont val="Times New Roman"/>
        <family val="1"/>
        <charset val="204"/>
      </rPr>
      <t>Зп</t>
    </r>
    <r>
      <rPr>
        <sz val="10"/>
        <rFont val="Times New Roman"/>
        <family val="1"/>
        <charset val="204"/>
      </rPr>
      <t xml:space="preserve"> - себестоимость произведенной продукции</t>
    </r>
  </si>
  <si>
    <t>Итого</t>
  </si>
  <si>
    <t>гр3</t>
  </si>
  <si>
    <t>гр4- 1кв</t>
  </si>
  <si>
    <t>гр4- 1полугод</t>
  </si>
  <si>
    <t>9 мес</t>
  </si>
  <si>
    <t>стр 410</t>
  </si>
  <si>
    <t>привлечен капитал</t>
  </si>
  <si>
    <t>рентабель ационер капит</t>
  </si>
  <si>
    <t>Интегральный коэффициент эффективности за 9 месяцев 2023 года</t>
  </si>
  <si>
    <t xml:space="preserve">по АО "Biokimyo "  </t>
  </si>
  <si>
    <t>Показатели</t>
  </si>
  <si>
    <t>Основные ключевые показатели эффективности</t>
  </si>
  <si>
    <t>Дополнительные ключевые показатели эффективности</t>
  </si>
  <si>
    <t xml:space="preserve">Итого ИКЭ </t>
  </si>
  <si>
    <t>Председатель правления                                     Р.А.Аликулов</t>
  </si>
  <si>
    <t xml:space="preserve">                     АО "Biokimyo" </t>
  </si>
  <si>
    <t xml:space="preserve">                    Главный бухгалтер                                                    М.Ю.Каратаева</t>
  </si>
  <si>
    <t xml:space="preserve">                    Начальник ОСПРБ                                                     З.Л.Ряховская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</si>
</sst>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,##0.0"/>
    <numFmt numFmtId="165" formatCode="#,##0.000"/>
    <numFmt numFmtId="166" formatCode="#,##0.00;[Red]\(#,##0.00\)"/>
    <numFmt numFmtId="167" formatCode="&quot;$&quot;#,##0_);[Red]\(&quot;$&quot;#,##0\)"/>
    <numFmt numFmtId="168" formatCode="&quot;$&quot;#,##0.00_);[Red]\(&quot;$&quot;#,##0.00\)"/>
    <numFmt numFmtId="169" formatCode="_-* #,##0.00[$€-1]_-;\-* #,##0.00[$€-1]_-;_-* &quot;-&quot;??[$€-1]_-"/>
    <numFmt numFmtId="170" formatCode="_-* #,##0.00&quot;р.&quot;_-;\-* #,##0.00&quot;р.&quot;_-;_-* &quot;-&quot;??&quot;р.&quot;_-;_-@_-"/>
    <numFmt numFmtId="171" formatCode="_-* #,##0.00_р_._-;\-* #,##0.00_р_._-;_-* &quot;-&quot;??_р_._-;_-@_-"/>
    <numFmt numFmtId="172" formatCode="#,##0.0_ ;[Red]\-#,##0.0\ "/>
    <numFmt numFmtId="173" formatCode="_(* #,##0.00_);_(* \(#,##0.00\);_(* &quot;-&quot;??_);_(@_)"/>
    <numFmt numFmtId="174" formatCode="#,##0__;[Red]\-#,##0__;"/>
  </numFmts>
  <fonts count="6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0"/>
      <name val="Arial CYR"/>
      <charset val="204"/>
    </font>
    <font>
      <sz val="8"/>
      <color theme="0"/>
      <name val="Arial CYR"/>
      <charset val="204"/>
    </font>
    <font>
      <sz val="10"/>
      <color theme="0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  <charset val="204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04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186"/>
    </font>
    <font>
      <sz val="8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color indexed="8"/>
      <name val="Times New Roman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돋움"/>
      <family val="3"/>
      <charset val="129"/>
    </font>
    <font>
      <sz val="11"/>
      <name val="돋움"/>
      <family val="2"/>
      <charset val="129"/>
    </font>
    <font>
      <sz val="12"/>
      <name val="Times New Roman"/>
      <family val="1"/>
      <charset val="204"/>
    </font>
    <font>
      <b/>
      <sz val="11"/>
      <name val="Arial Cyr"/>
      <charset val="204"/>
    </font>
    <font>
      <b/>
      <i/>
      <sz val="10"/>
      <name val="Times New Roman"/>
      <family val="1"/>
      <charset val="204"/>
    </font>
    <font>
      <b/>
      <sz val="10"/>
      <name val="Arial Cyr"/>
      <charset val="204"/>
    </font>
    <font>
      <b/>
      <sz val="10"/>
      <color theme="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2">
    <xf numFmtId="0" fontId="0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14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6" fillId="5" borderId="0" applyNumberFormat="0" applyBorder="0" applyAlignment="0" applyProtection="0"/>
    <xf numFmtId="0" fontId="17" fillId="22" borderId="35" applyNumberFormat="0" applyAlignment="0" applyProtection="0"/>
    <xf numFmtId="0" fontId="18" fillId="23" borderId="36" applyNumberFormat="0" applyAlignment="0" applyProtection="0"/>
    <xf numFmtId="16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0" borderId="37" applyNumberFormat="0" applyFill="0" applyAlignment="0" applyProtection="0"/>
    <xf numFmtId="0" fontId="23" fillId="0" borderId="38" applyNumberFormat="0" applyFill="0" applyAlignment="0" applyProtection="0"/>
    <xf numFmtId="0" fontId="24" fillId="0" borderId="39" applyNumberFormat="0" applyFill="0" applyAlignment="0" applyProtection="0"/>
    <xf numFmtId="0" fontId="24" fillId="0" borderId="0" applyNumberFormat="0" applyFill="0" applyBorder="0" applyAlignment="0" applyProtection="0"/>
    <xf numFmtId="0" fontId="25" fillId="9" borderId="35" applyNumberFormat="0" applyAlignment="0" applyProtection="0"/>
    <xf numFmtId="0" fontId="26" fillId="0" borderId="40" applyNumberFormat="0" applyFill="0" applyAlignment="0" applyProtection="0"/>
    <xf numFmtId="0" fontId="27" fillId="24" borderId="0" applyNumberFormat="0" applyBorder="0" applyAlignment="0" applyProtection="0"/>
    <xf numFmtId="0" fontId="28" fillId="0" borderId="0"/>
    <xf numFmtId="0" fontId="2" fillId="25" borderId="41" applyNumberFormat="0" applyFont="0" applyAlignment="0" applyProtection="0"/>
    <xf numFmtId="0" fontId="29" fillId="22" borderId="42" applyNumberFormat="0" applyAlignment="0" applyProtection="0"/>
    <xf numFmtId="9" fontId="19" fillId="0" borderId="0" applyFont="0" applyFill="0" applyProtection="0">
      <alignment horizontal="center"/>
    </xf>
    <xf numFmtId="0" fontId="30" fillId="0" borderId="0" applyNumberFormat="0" applyFill="0" applyBorder="0" applyAlignment="0" applyProtection="0"/>
    <xf numFmtId="0" fontId="31" fillId="0" borderId="43" applyNumberFormat="0" applyFill="0" applyAlignment="0" applyProtection="0"/>
    <xf numFmtId="0" fontId="32" fillId="0" borderId="0" applyNumberFormat="0" applyFill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21" borderId="0" applyNumberFormat="0" applyBorder="0" applyAlignment="0" applyProtection="0"/>
    <xf numFmtId="0" fontId="19" fillId="0" borderId="0"/>
    <xf numFmtId="0" fontId="33" fillId="9" borderId="35" applyNumberFormat="0" applyAlignment="0" applyProtection="0"/>
    <xf numFmtId="0" fontId="34" fillId="22" borderId="42" applyNumberFormat="0" applyAlignment="0" applyProtection="0"/>
    <xf numFmtId="0" fontId="35" fillId="22" borderId="35" applyNumberFormat="0" applyAlignment="0" applyProtection="0"/>
    <xf numFmtId="170" fontId="13" fillId="0" borderId="0" applyFont="0" applyFill="0" applyBorder="0" applyAlignment="0" applyProtection="0"/>
    <xf numFmtId="0" fontId="36" fillId="0" borderId="37" applyNumberFormat="0" applyFill="0" applyAlignment="0" applyProtection="0"/>
    <xf numFmtId="0" fontId="37" fillId="0" borderId="38" applyNumberFormat="0" applyFill="0" applyAlignment="0" applyProtection="0"/>
    <xf numFmtId="0" fontId="38" fillId="0" borderId="39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43" applyNumberFormat="0" applyFill="0" applyAlignment="0" applyProtection="0"/>
    <xf numFmtId="0" fontId="40" fillId="23" borderId="36" applyNumberFormat="0" applyAlignment="0" applyProtection="0"/>
    <xf numFmtId="0" fontId="41" fillId="0" borderId="0" applyNumberFormat="0" applyFill="0" applyBorder="0" applyAlignment="0" applyProtection="0"/>
    <xf numFmtId="0" fontId="4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8" fillId="0" borderId="0"/>
    <xf numFmtId="0" fontId="13" fillId="0" borderId="0"/>
    <xf numFmtId="0" fontId="28" fillId="0" borderId="0"/>
    <xf numFmtId="0" fontId="28" fillId="0" borderId="0"/>
    <xf numFmtId="0" fontId="43" fillId="0" borderId="0"/>
    <xf numFmtId="0" fontId="2" fillId="0" borderId="0"/>
    <xf numFmtId="0" fontId="28" fillId="0" borderId="0"/>
    <xf numFmtId="0" fontId="7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3" fillId="0" borderId="0"/>
    <xf numFmtId="0" fontId="28" fillId="0" borderId="0" applyNumberFormat="0" applyFont="0" applyFill="0" applyBorder="0" applyAlignment="0" applyProtection="0">
      <alignment vertical="top"/>
    </xf>
    <xf numFmtId="0" fontId="1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3" fillId="0" borderId="0"/>
    <xf numFmtId="0" fontId="1" fillId="0" borderId="0"/>
    <xf numFmtId="0" fontId="13" fillId="0" borderId="0"/>
    <xf numFmtId="0" fontId="2" fillId="0" borderId="0"/>
    <xf numFmtId="0" fontId="28" fillId="0" borderId="0"/>
    <xf numFmtId="0" fontId="7" fillId="0" borderId="0"/>
    <xf numFmtId="0" fontId="28" fillId="0" borderId="0"/>
    <xf numFmtId="0" fontId="28" fillId="0" borderId="0"/>
    <xf numFmtId="0" fontId="7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45" fillId="5" borderId="0" applyNumberFormat="0" applyBorder="0" applyAlignment="0" applyProtection="0"/>
    <xf numFmtId="0" fontId="46" fillId="0" borderId="0" applyNumberFormat="0" applyFill="0" applyBorder="0" applyAlignment="0" applyProtection="0"/>
    <xf numFmtId="0" fontId="28" fillId="25" borderId="41" applyNumberFormat="0" applyFont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8" fillId="0" borderId="40" applyNumberFormat="0" applyFill="0" applyAlignment="0" applyProtection="0"/>
    <xf numFmtId="0" fontId="49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8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50" fillId="6" borderId="0" applyNumberFormat="0" applyBorder="0" applyAlignment="0" applyProtection="0"/>
    <xf numFmtId="0" fontId="51" fillId="0" borderId="0"/>
    <xf numFmtId="0" fontId="52" fillId="0" borderId="0"/>
  </cellStyleXfs>
  <cellXfs count="242">
    <xf numFmtId="0" fontId="0" fillId="0" borderId="0" xfId="0"/>
    <xf numFmtId="4" fontId="3" fillId="0" borderId="0" xfId="0" applyNumberFormat="1" applyFont="1" applyFill="1"/>
    <xf numFmtId="4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/>
    <xf numFmtId="4" fontId="3" fillId="0" borderId="0" xfId="0" applyNumberFormat="1" applyFont="1" applyFill="1" applyAlignment="1">
      <alignment horizontal="center"/>
    </xf>
    <xf numFmtId="4" fontId="4" fillId="0" borderId="0" xfId="0" applyNumberFormat="1" applyFont="1" applyFill="1" applyAlignment="1">
      <alignment horizontal="center"/>
    </xf>
    <xf numFmtId="4" fontId="4" fillId="0" borderId="0" xfId="0" applyNumberFormat="1" applyFont="1" applyFill="1" applyAlignment="1"/>
    <xf numFmtId="0" fontId="5" fillId="0" borderId="0" xfId="0" applyFont="1"/>
    <xf numFmtId="4" fontId="4" fillId="0" borderId="0" xfId="0" applyNumberFormat="1" applyFont="1" applyFill="1" applyAlignment="1">
      <alignment horizontal="center" wrapText="1"/>
    </xf>
    <xf numFmtId="4" fontId="3" fillId="0" borderId="0" xfId="0" applyNumberFormat="1" applyFont="1" applyFill="1" applyBorder="1" applyAlignment="1">
      <alignment horizontal="center" wrapText="1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/>
    <xf numFmtId="4" fontId="6" fillId="0" borderId="5" xfId="0" applyNumberFormat="1" applyFont="1" applyFill="1" applyBorder="1" applyAlignment="1"/>
    <xf numFmtId="4" fontId="6" fillId="0" borderId="6" xfId="0" applyNumberFormat="1" applyFont="1" applyFill="1" applyBorder="1" applyAlignment="1">
      <alignment horizontal="center"/>
    </xf>
    <xf numFmtId="4" fontId="6" fillId="0" borderId="7" xfId="0" applyNumberFormat="1" applyFont="1" applyFill="1" applyBorder="1" applyAlignment="1">
      <alignment horizontal="center"/>
    </xf>
    <xf numFmtId="4" fontId="6" fillId="0" borderId="8" xfId="0" applyNumberFormat="1" applyFont="1" applyFill="1" applyBorder="1" applyAlignment="1">
      <alignment vertical="center" wrapText="1"/>
    </xf>
    <xf numFmtId="0" fontId="0" fillId="0" borderId="9" xfId="0" applyBorder="1"/>
    <xf numFmtId="4" fontId="6" fillId="0" borderId="10" xfId="0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 vertical="center" wrapText="1"/>
    </xf>
    <xf numFmtId="4" fontId="6" fillId="0" borderId="12" xfId="0" applyNumberFormat="1" applyFont="1" applyFill="1" applyBorder="1" applyAlignment="1">
      <alignment horizontal="center" vertical="center" wrapText="1"/>
    </xf>
    <xf numFmtId="4" fontId="6" fillId="0" borderId="11" xfId="0" applyNumberFormat="1" applyFont="1" applyFill="1" applyBorder="1" applyAlignment="1"/>
    <xf numFmtId="4" fontId="6" fillId="0" borderId="9" xfId="0" applyNumberFormat="1" applyFont="1" applyFill="1" applyBorder="1" applyAlignment="1">
      <alignment vertical="center" wrapText="1"/>
    </xf>
    <xf numFmtId="4" fontId="6" fillId="0" borderId="0" xfId="0" applyNumberFormat="1" applyFont="1" applyFill="1" applyBorder="1" applyAlignment="1">
      <alignment vertical="center" wrapText="1"/>
    </xf>
    <xf numFmtId="4" fontId="6" fillId="0" borderId="13" xfId="0" applyNumberFormat="1" applyFont="1" applyFill="1" applyBorder="1" applyAlignment="1">
      <alignment horizontal="center" vertical="center" wrapText="1"/>
    </xf>
    <xf numFmtId="4" fontId="6" fillId="0" borderId="14" xfId="0" applyNumberFormat="1" applyFont="1" applyFill="1" applyBorder="1" applyAlignment="1">
      <alignment horizontal="center" vertical="center" wrapText="1"/>
    </xf>
    <xf numFmtId="4" fontId="6" fillId="0" borderId="15" xfId="0" applyNumberFormat="1" applyFont="1" applyFill="1" applyBorder="1" applyAlignment="1">
      <alignment horizontal="center" vertical="center" wrapText="1"/>
    </xf>
    <xf numFmtId="4" fontId="6" fillId="0" borderId="16" xfId="0" applyNumberFormat="1" applyFont="1" applyFill="1" applyBorder="1" applyAlignment="1">
      <alignment horizontal="center" vertical="center" wrapText="1"/>
    </xf>
    <xf numFmtId="4" fontId="6" fillId="0" borderId="17" xfId="0" applyNumberFormat="1" applyFont="1" applyFill="1" applyBorder="1" applyAlignment="1">
      <alignment vertical="center" wrapText="1"/>
    </xf>
    <xf numFmtId="4" fontId="6" fillId="0" borderId="18" xfId="0" applyNumberFormat="1" applyFont="1" applyFill="1" applyBorder="1" applyAlignment="1">
      <alignment horizontal="center" vertical="center"/>
    </xf>
    <xf numFmtId="4" fontId="6" fillId="0" borderId="19" xfId="0" applyNumberFormat="1" applyFont="1" applyFill="1" applyBorder="1" applyAlignment="1">
      <alignment horizontal="center" vertical="center"/>
    </xf>
    <xf numFmtId="4" fontId="6" fillId="0" borderId="19" xfId="0" applyNumberFormat="1" applyFont="1" applyFill="1" applyBorder="1" applyAlignment="1">
      <alignment horizontal="center" vertical="center" wrapText="1"/>
    </xf>
    <xf numFmtId="4" fontId="6" fillId="0" borderId="20" xfId="0" applyNumberFormat="1" applyFont="1" applyFill="1" applyBorder="1" applyAlignment="1">
      <alignment horizontal="center" vertical="center" wrapText="1"/>
    </xf>
    <xf numFmtId="4" fontId="6" fillId="0" borderId="19" xfId="0" applyNumberFormat="1" applyFont="1" applyFill="1" applyBorder="1" applyAlignment="1">
      <alignment horizontal="center" vertical="center" wrapText="1"/>
    </xf>
    <xf numFmtId="4" fontId="6" fillId="0" borderId="19" xfId="0" applyNumberFormat="1" applyFont="1" applyFill="1" applyBorder="1" applyAlignment="1">
      <alignment horizontal="center" vertical="center"/>
    </xf>
    <xf numFmtId="4" fontId="6" fillId="0" borderId="21" xfId="0" applyNumberFormat="1" applyFont="1" applyFill="1" applyBorder="1" applyAlignment="1">
      <alignment vertical="center" wrapText="1"/>
    </xf>
    <xf numFmtId="4" fontId="6" fillId="0" borderId="22" xfId="0" applyNumberFormat="1" applyFont="1" applyFill="1" applyBorder="1" applyAlignment="1">
      <alignment vertical="center" wrapText="1"/>
    </xf>
    <xf numFmtId="4" fontId="6" fillId="0" borderId="21" xfId="0" applyNumberFormat="1" applyFont="1" applyFill="1" applyBorder="1" applyAlignment="1">
      <alignment horizontal="center" vertical="center" wrapText="1"/>
    </xf>
    <xf numFmtId="4" fontId="6" fillId="0" borderId="22" xfId="0" applyNumberFormat="1" applyFont="1" applyFill="1" applyBorder="1" applyAlignment="1">
      <alignment horizontal="center" vertical="center" wrapText="1"/>
    </xf>
    <xf numFmtId="4" fontId="6" fillId="0" borderId="23" xfId="0" applyNumberFormat="1" applyFont="1" applyFill="1" applyBorder="1" applyAlignment="1">
      <alignment horizontal="center" vertical="center" wrapText="1"/>
    </xf>
    <xf numFmtId="4" fontId="6" fillId="0" borderId="24" xfId="0" applyNumberFormat="1" applyFont="1" applyFill="1" applyBorder="1" applyAlignment="1">
      <alignment horizontal="center" vertical="center" wrapText="1"/>
    </xf>
    <xf numFmtId="4" fontId="6" fillId="0" borderId="25" xfId="0" applyNumberFormat="1" applyFont="1" applyFill="1" applyBorder="1" applyAlignment="1">
      <alignment horizontal="center" vertical="center" wrapText="1"/>
    </xf>
    <xf numFmtId="4" fontId="6" fillId="0" borderId="26" xfId="0" applyNumberFormat="1" applyFont="1" applyFill="1" applyBorder="1" applyAlignment="1">
      <alignment horizontal="center" vertical="center"/>
    </xf>
    <xf numFmtId="4" fontId="6" fillId="0" borderId="27" xfId="0" applyNumberFormat="1" applyFont="1" applyFill="1" applyBorder="1" applyAlignment="1">
      <alignment horizontal="center" vertical="center"/>
    </xf>
    <xf numFmtId="4" fontId="7" fillId="0" borderId="27" xfId="0" applyNumberFormat="1" applyFont="1" applyFill="1" applyBorder="1" applyAlignment="1">
      <alignment horizontal="center" vertical="center"/>
    </xf>
    <xf numFmtId="4" fontId="6" fillId="2" borderId="27" xfId="0" applyNumberFormat="1" applyFont="1" applyFill="1" applyBorder="1" applyAlignment="1">
      <alignment horizontal="center"/>
    </xf>
    <xf numFmtId="4" fontId="6" fillId="0" borderId="27" xfId="0" applyNumberFormat="1" applyFont="1" applyFill="1" applyBorder="1" applyAlignment="1">
      <alignment horizontal="center" vertical="center" wrapText="1"/>
    </xf>
    <xf numFmtId="4" fontId="6" fillId="0" borderId="28" xfId="0" applyNumberFormat="1" applyFont="1" applyFill="1" applyBorder="1" applyAlignment="1">
      <alignment horizontal="center" vertical="center" wrapText="1"/>
    </xf>
    <xf numFmtId="4" fontId="6" fillId="0" borderId="29" xfId="0" applyNumberFormat="1" applyFont="1" applyFill="1" applyBorder="1" applyAlignment="1">
      <alignment horizontal="center" vertical="center" wrapText="1"/>
    </xf>
    <xf numFmtId="4" fontId="6" fillId="2" borderId="30" xfId="0" applyNumberFormat="1" applyFont="1" applyFill="1" applyBorder="1" applyAlignment="1">
      <alignment horizontal="center"/>
    </xf>
    <xf numFmtId="4" fontId="6" fillId="2" borderId="31" xfId="0" applyNumberFormat="1" applyFont="1" applyFill="1" applyBorder="1" applyAlignment="1">
      <alignment horizontal="left" vertical="center" wrapText="1"/>
    </xf>
    <xf numFmtId="4" fontId="3" fillId="2" borderId="31" xfId="0" applyNumberFormat="1" applyFont="1" applyFill="1" applyBorder="1" applyAlignment="1">
      <alignment horizontal="center"/>
    </xf>
    <xf numFmtId="3" fontId="3" fillId="2" borderId="31" xfId="0" applyNumberFormat="1" applyFont="1" applyFill="1" applyBorder="1" applyAlignment="1">
      <alignment horizontal="center"/>
    </xf>
    <xf numFmtId="3" fontId="3" fillId="3" borderId="31" xfId="0" applyNumberFormat="1" applyFont="1" applyFill="1" applyBorder="1" applyAlignment="1">
      <alignment horizontal="center"/>
    </xf>
    <xf numFmtId="164" fontId="3" fillId="2" borderId="31" xfId="0" applyNumberFormat="1" applyFont="1" applyFill="1" applyBorder="1" applyAlignment="1">
      <alignment horizontal="center"/>
    </xf>
    <xf numFmtId="164" fontId="3" fillId="2" borderId="32" xfId="0" applyNumberFormat="1" applyFont="1" applyFill="1" applyBorder="1" applyAlignment="1">
      <alignment horizontal="center"/>
    </xf>
    <xf numFmtId="164" fontId="6" fillId="2" borderId="29" xfId="0" applyNumberFormat="1" applyFont="1" applyFill="1" applyBorder="1" applyAlignment="1">
      <alignment horizontal="right"/>
    </xf>
    <xf numFmtId="4" fontId="6" fillId="2" borderId="10" xfId="0" applyNumberFormat="1" applyFont="1" applyFill="1" applyBorder="1" applyAlignment="1">
      <alignment horizontal="center"/>
    </xf>
    <xf numFmtId="4" fontId="6" fillId="2" borderId="11" xfId="0" applyNumberFormat="1" applyFont="1" applyFill="1" applyBorder="1" applyAlignment="1">
      <alignment horizontal="left" vertical="center" wrapText="1"/>
    </xf>
    <xf numFmtId="4" fontId="3" fillId="2" borderId="11" xfId="0" applyNumberFormat="1" applyFont="1" applyFill="1" applyBorder="1" applyAlignment="1">
      <alignment horizontal="center"/>
    </xf>
    <xf numFmtId="3" fontId="3" fillId="2" borderId="11" xfId="0" applyNumberFormat="1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164" fontId="3" fillId="2" borderId="16" xfId="0" applyNumberFormat="1" applyFont="1" applyFill="1" applyBorder="1" applyAlignment="1">
      <alignment horizontal="center"/>
    </xf>
    <xf numFmtId="4" fontId="6" fillId="2" borderId="11" xfId="0" applyNumberFormat="1" applyFont="1" applyFill="1" applyBorder="1"/>
    <xf numFmtId="4" fontId="4" fillId="2" borderId="11" xfId="0" applyNumberFormat="1" applyFont="1" applyFill="1" applyBorder="1" applyAlignment="1">
      <alignment horizontal="center"/>
    </xf>
    <xf numFmtId="4" fontId="4" fillId="3" borderId="11" xfId="0" applyNumberFormat="1" applyFont="1" applyFill="1" applyBorder="1" applyAlignment="1">
      <alignment horizontal="center"/>
    </xf>
    <xf numFmtId="4" fontId="7" fillId="2" borderId="11" xfId="0" applyNumberFormat="1" applyFont="1" applyFill="1" applyBorder="1" applyAlignment="1">
      <alignment vertical="center"/>
    </xf>
    <xf numFmtId="4" fontId="3" fillId="3" borderId="11" xfId="0" applyNumberFormat="1" applyFont="1" applyFill="1" applyBorder="1" applyAlignment="1">
      <alignment horizontal="center"/>
    </xf>
    <xf numFmtId="4" fontId="7" fillId="2" borderId="11" xfId="0" applyNumberFormat="1" applyFont="1" applyFill="1" applyBorder="1" applyAlignment="1">
      <alignment wrapText="1"/>
    </xf>
    <xf numFmtId="3" fontId="4" fillId="2" borderId="11" xfId="0" applyNumberFormat="1" applyFont="1" applyFill="1" applyBorder="1" applyAlignment="1">
      <alignment horizontal="center"/>
    </xf>
    <xf numFmtId="3" fontId="4" fillId="3" borderId="11" xfId="0" applyNumberFormat="1" applyFont="1" applyFill="1" applyBorder="1" applyAlignment="1">
      <alignment horizontal="center"/>
    </xf>
    <xf numFmtId="4" fontId="4" fillId="2" borderId="16" xfId="0" applyNumberFormat="1" applyFont="1" applyFill="1" applyBorder="1" applyAlignment="1">
      <alignment horizontal="center"/>
    </xf>
    <xf numFmtId="4" fontId="7" fillId="2" borderId="29" xfId="0" applyNumberFormat="1" applyFont="1" applyFill="1" applyBorder="1" applyAlignment="1">
      <alignment horizontal="right"/>
    </xf>
    <xf numFmtId="4" fontId="7" fillId="2" borderId="11" xfId="0" applyNumberFormat="1" applyFont="1" applyFill="1" applyBorder="1" applyAlignment="1">
      <alignment vertical="top" wrapText="1"/>
    </xf>
    <xf numFmtId="4" fontId="6" fillId="2" borderId="29" xfId="0" applyNumberFormat="1" applyFont="1" applyFill="1" applyBorder="1" applyAlignment="1">
      <alignment horizontal="right"/>
    </xf>
    <xf numFmtId="164" fontId="4" fillId="2" borderId="11" xfId="0" applyNumberFormat="1" applyFont="1" applyFill="1" applyBorder="1" applyAlignment="1">
      <alignment horizontal="center"/>
    </xf>
    <xf numFmtId="164" fontId="4" fillId="2" borderId="16" xfId="0" applyNumberFormat="1" applyFont="1" applyFill="1" applyBorder="1" applyAlignment="1">
      <alignment horizontal="center"/>
    </xf>
    <xf numFmtId="164" fontId="7" fillId="2" borderId="29" xfId="0" applyNumberFormat="1" applyFont="1" applyFill="1" applyBorder="1" applyAlignment="1">
      <alignment horizontal="right"/>
    </xf>
    <xf numFmtId="0" fontId="6" fillId="2" borderId="11" xfId="0" applyFont="1" applyFill="1" applyBorder="1" applyAlignment="1">
      <alignment vertical="top" wrapText="1"/>
    </xf>
    <xf numFmtId="0" fontId="7" fillId="2" borderId="11" xfId="0" applyFont="1" applyFill="1" applyBorder="1" applyAlignment="1">
      <alignment vertical="top" wrapText="1"/>
    </xf>
    <xf numFmtId="3" fontId="3" fillId="2" borderId="16" xfId="0" applyNumberFormat="1" applyFont="1" applyFill="1" applyBorder="1" applyAlignment="1">
      <alignment horizontal="center"/>
    </xf>
    <xf numFmtId="3" fontId="6" fillId="2" borderId="29" xfId="0" applyNumberFormat="1" applyFont="1" applyFill="1" applyBorder="1" applyAlignment="1">
      <alignment horizontal="right"/>
    </xf>
    <xf numFmtId="3" fontId="4" fillId="2" borderId="16" xfId="0" applyNumberFormat="1" applyFont="1" applyFill="1" applyBorder="1" applyAlignment="1">
      <alignment horizontal="center"/>
    </xf>
    <xf numFmtId="3" fontId="7" fillId="2" borderId="29" xfId="0" applyNumberFormat="1" applyFont="1" applyFill="1" applyBorder="1" applyAlignment="1">
      <alignment horizontal="right"/>
    </xf>
    <xf numFmtId="4" fontId="6" fillId="2" borderId="11" xfId="0" applyNumberFormat="1" applyFont="1" applyFill="1" applyBorder="1" applyAlignment="1">
      <alignment wrapText="1"/>
    </xf>
    <xf numFmtId="4" fontId="6" fillId="2" borderId="10" xfId="0" applyNumberFormat="1" applyFont="1" applyFill="1" applyBorder="1" applyAlignment="1">
      <alignment horizontal="center" vertical="top"/>
    </xf>
    <xf numFmtId="4" fontId="7" fillId="2" borderId="11" xfId="0" applyNumberFormat="1" applyFont="1" applyFill="1" applyBorder="1"/>
    <xf numFmtId="4" fontId="6" fillId="2" borderId="10" xfId="0" applyNumberFormat="1" applyFont="1" applyFill="1" applyBorder="1" applyAlignment="1">
      <alignment horizontal="center" vertical="center"/>
    </xf>
    <xf numFmtId="4" fontId="6" fillId="2" borderId="11" xfId="0" applyNumberFormat="1" applyFont="1" applyFill="1" applyBorder="1" applyAlignment="1">
      <alignment vertical="top" wrapText="1"/>
    </xf>
    <xf numFmtId="165" fontId="3" fillId="2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4" fontId="6" fillId="2" borderId="33" xfId="0" applyNumberFormat="1" applyFont="1" applyFill="1" applyBorder="1" applyAlignment="1">
      <alignment horizontal="center"/>
    </xf>
    <xf numFmtId="4" fontId="7" fillId="2" borderId="24" xfId="0" applyNumberFormat="1" applyFont="1" applyFill="1" applyBorder="1" applyAlignment="1">
      <alignment vertical="top" wrapText="1"/>
    </xf>
    <xf numFmtId="4" fontId="3" fillId="2" borderId="24" xfId="0" applyNumberFormat="1" applyFont="1" applyFill="1" applyBorder="1" applyAlignment="1">
      <alignment horizontal="center"/>
    </xf>
    <xf numFmtId="4" fontId="4" fillId="2" borderId="24" xfId="0" applyNumberFormat="1" applyFont="1" applyFill="1" applyBorder="1" applyAlignment="1">
      <alignment horizontal="center"/>
    </xf>
    <xf numFmtId="4" fontId="4" fillId="3" borderId="24" xfId="0" applyNumberFormat="1" applyFont="1" applyFill="1" applyBorder="1" applyAlignment="1">
      <alignment horizontal="center"/>
    </xf>
    <xf numFmtId="4" fontId="3" fillId="2" borderId="25" xfId="0" applyNumberFormat="1" applyFont="1" applyFill="1" applyBorder="1" applyAlignment="1">
      <alignment horizontal="center"/>
    </xf>
    <xf numFmtId="4" fontId="6" fillId="2" borderId="34" xfId="0" applyNumberFormat="1" applyFont="1" applyFill="1" applyBorder="1" applyAlignment="1">
      <alignment horizontal="right"/>
    </xf>
    <xf numFmtId="4" fontId="7" fillId="0" borderId="0" xfId="0" applyNumberFormat="1" applyFont="1" applyFill="1"/>
    <xf numFmtId="4" fontId="7" fillId="0" borderId="0" xfId="0" applyNumberFormat="1" applyFont="1" applyFill="1" applyAlignment="1">
      <alignment horizontal="center" vertical="center"/>
    </xf>
    <xf numFmtId="4" fontId="7" fillId="2" borderId="0" xfId="0" applyNumberFormat="1" applyFont="1" applyFill="1"/>
    <xf numFmtId="4" fontId="4" fillId="2" borderId="0" xfId="0" applyNumberFormat="1" applyFont="1" applyFill="1"/>
    <xf numFmtId="4" fontId="3" fillId="0" borderId="0" xfId="0" applyNumberFormat="1" applyFont="1" applyFill="1" applyBorder="1" applyAlignment="1">
      <alignment horizontal="left" wrapText="1"/>
    </xf>
    <xf numFmtId="4" fontId="3" fillId="0" borderId="0" xfId="0" applyNumberFormat="1" applyFont="1" applyFill="1" applyAlignment="1">
      <alignment horizontal="center" vertical="center"/>
    </xf>
    <xf numFmtId="4" fontId="8" fillId="0" borderId="0" xfId="0" applyNumberFormat="1" applyFont="1" applyFill="1" applyAlignment="1">
      <alignment vertical="center"/>
    </xf>
    <xf numFmtId="0" fontId="9" fillId="0" borderId="0" xfId="0" applyFont="1"/>
    <xf numFmtId="3" fontId="9" fillId="0" borderId="0" xfId="0" applyNumberFormat="1" applyFont="1"/>
    <xf numFmtId="3" fontId="10" fillId="0" borderId="0" xfId="0" applyNumberFormat="1" applyFont="1"/>
    <xf numFmtId="4" fontId="11" fillId="0" borderId="0" xfId="0" applyNumberFormat="1" applyFont="1" applyFill="1"/>
    <xf numFmtId="3" fontId="9" fillId="3" borderId="0" xfId="0" applyNumberFormat="1" applyFont="1" applyFill="1"/>
    <xf numFmtId="3" fontId="0" fillId="0" borderId="0" xfId="0" applyNumberFormat="1"/>
    <xf numFmtId="4" fontId="8" fillId="0" borderId="0" xfId="0" applyNumberFormat="1" applyFont="1" applyFill="1"/>
    <xf numFmtId="4" fontId="8" fillId="0" borderId="0" xfId="0" applyNumberFormat="1" applyFont="1" applyFill="1" applyAlignment="1">
      <alignment horizontal="center"/>
    </xf>
    <xf numFmtId="4" fontId="53" fillId="0" borderId="0" xfId="0" applyNumberFormat="1" applyFont="1" applyFill="1"/>
    <xf numFmtId="4" fontId="53" fillId="0" borderId="0" xfId="0" applyNumberFormat="1" applyFont="1" applyFill="1" applyAlignment="1">
      <alignment horizontal="center"/>
    </xf>
    <xf numFmtId="4" fontId="53" fillId="0" borderId="0" xfId="0" applyNumberFormat="1" applyFont="1" applyFill="1" applyAlignment="1"/>
    <xf numFmtId="4" fontId="6" fillId="2" borderId="1" xfId="0" applyNumberFormat="1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/>
    </xf>
    <xf numFmtId="4" fontId="6" fillId="2" borderId="5" xfId="0" applyNumberFormat="1" applyFont="1" applyFill="1" applyBorder="1" applyAlignment="1">
      <alignment horizontal="center"/>
    </xf>
    <xf numFmtId="4" fontId="6" fillId="2" borderId="44" xfId="0" applyNumberFormat="1" applyFont="1" applyFill="1" applyBorder="1" applyAlignment="1">
      <alignment horizontal="center"/>
    </xf>
    <xf numFmtId="0" fontId="0" fillId="0" borderId="0" xfId="0" applyBorder="1"/>
    <xf numFmtId="4" fontId="6" fillId="2" borderId="10" xfId="0" applyNumberFormat="1" applyFont="1" applyFill="1" applyBorder="1" applyAlignment="1">
      <alignment horizontal="center" vertical="center"/>
    </xf>
    <xf numFmtId="4" fontId="6" fillId="2" borderId="11" xfId="0" applyNumberFormat="1" applyFont="1" applyFill="1" applyBorder="1" applyAlignment="1">
      <alignment horizontal="center" vertical="center"/>
    </xf>
    <xf numFmtId="4" fontId="6" fillId="2" borderId="11" xfId="0" applyNumberFormat="1" applyFont="1" applyFill="1" applyBorder="1" applyAlignment="1">
      <alignment horizontal="center" vertical="center" wrapText="1"/>
    </xf>
    <xf numFmtId="4" fontId="6" fillId="2" borderId="45" xfId="0" applyNumberFormat="1" applyFont="1" applyFill="1" applyBorder="1" applyAlignment="1"/>
    <xf numFmtId="4" fontId="6" fillId="2" borderId="29" xfId="0" applyNumberFormat="1" applyFont="1" applyFill="1" applyBorder="1" applyAlignment="1"/>
    <xf numFmtId="4" fontId="6" fillId="2" borderId="11" xfId="0" applyNumberFormat="1" applyFont="1" applyFill="1" applyBorder="1" applyAlignment="1"/>
    <xf numFmtId="4" fontId="6" fillId="2" borderId="9" xfId="0" applyNumberFormat="1" applyFont="1" applyFill="1" applyBorder="1" applyAlignment="1">
      <alignment vertical="center" wrapText="1"/>
    </xf>
    <xf numFmtId="4" fontId="6" fillId="2" borderId="0" xfId="0" applyNumberFormat="1" applyFont="1" applyFill="1" applyBorder="1" applyAlignment="1">
      <alignment vertical="center" wrapText="1"/>
    </xf>
    <xf numFmtId="4" fontId="6" fillId="2" borderId="13" xfId="0" applyNumberFormat="1" applyFont="1" applyFill="1" applyBorder="1" applyAlignment="1">
      <alignment horizontal="center" vertical="center" wrapText="1"/>
    </xf>
    <xf numFmtId="4" fontId="6" fillId="2" borderId="14" xfId="0" applyNumberFormat="1" applyFont="1" applyFill="1" applyBorder="1" applyAlignment="1">
      <alignment horizontal="center" vertical="center" wrapText="1"/>
    </xf>
    <xf numFmtId="4" fontId="6" fillId="2" borderId="15" xfId="0" applyNumberFormat="1" applyFont="1" applyFill="1" applyBorder="1" applyAlignment="1">
      <alignment horizontal="center" vertical="center" wrapText="1"/>
    </xf>
    <xf numFmtId="4" fontId="6" fillId="2" borderId="16" xfId="0" applyNumberFormat="1" applyFont="1" applyFill="1" applyBorder="1" applyAlignment="1">
      <alignment horizontal="center" vertical="center" wrapText="1"/>
    </xf>
    <xf numFmtId="4" fontId="6" fillId="2" borderId="46" xfId="0" applyNumberFormat="1" applyFont="1" applyFill="1" applyBorder="1" applyAlignment="1"/>
    <xf numFmtId="4" fontId="6" fillId="2" borderId="33" xfId="0" applyNumberFormat="1" applyFont="1" applyFill="1" applyBorder="1" applyAlignment="1">
      <alignment horizontal="center" vertical="center"/>
    </xf>
    <xf numFmtId="4" fontId="6" fillId="2" borderId="24" xfId="0" applyNumberFormat="1" applyFont="1" applyFill="1" applyBorder="1" applyAlignment="1">
      <alignment horizontal="center" vertical="center"/>
    </xf>
    <xf numFmtId="4" fontId="6" fillId="2" borderId="24" xfId="0" applyNumberFormat="1" applyFont="1" applyFill="1" applyBorder="1" applyAlignment="1">
      <alignment horizontal="center" vertical="center" wrapText="1"/>
    </xf>
    <xf numFmtId="4" fontId="6" fillId="2" borderId="24" xfId="0" applyNumberFormat="1" applyFont="1" applyFill="1" applyBorder="1" applyAlignment="1">
      <alignment horizontal="center" vertical="center" wrapText="1"/>
    </xf>
    <xf numFmtId="4" fontId="6" fillId="2" borderId="19" xfId="0" applyNumberFormat="1" applyFont="1" applyFill="1" applyBorder="1" applyAlignment="1">
      <alignment horizontal="center" vertical="center" wrapText="1"/>
    </xf>
    <xf numFmtId="4" fontId="6" fillId="2" borderId="19" xfId="0" applyNumberFormat="1" applyFont="1" applyFill="1" applyBorder="1" applyAlignment="1">
      <alignment horizontal="center" vertical="center"/>
    </xf>
    <xf numFmtId="4" fontId="6" fillId="2" borderId="19" xfId="0" applyNumberFormat="1" applyFont="1" applyFill="1" applyBorder="1" applyAlignment="1">
      <alignment horizontal="center" vertical="center" wrapText="1"/>
    </xf>
    <xf numFmtId="4" fontId="6" fillId="2" borderId="21" xfId="0" applyNumberFormat="1" applyFont="1" applyFill="1" applyBorder="1" applyAlignment="1">
      <alignment vertical="center" wrapText="1"/>
    </xf>
    <xf numFmtId="4" fontId="6" fillId="2" borderId="22" xfId="0" applyNumberFormat="1" applyFont="1" applyFill="1" applyBorder="1" applyAlignment="1">
      <alignment vertical="center" wrapText="1"/>
    </xf>
    <xf numFmtId="4" fontId="6" fillId="2" borderId="21" xfId="0" applyNumberFormat="1" applyFont="1" applyFill="1" applyBorder="1" applyAlignment="1">
      <alignment horizontal="center" vertical="center" wrapText="1"/>
    </xf>
    <xf numFmtId="4" fontId="6" fillId="2" borderId="22" xfId="0" applyNumberFormat="1" applyFont="1" applyFill="1" applyBorder="1" applyAlignment="1">
      <alignment horizontal="center" vertical="center" wrapText="1"/>
    </xf>
    <xf numFmtId="4" fontId="6" fillId="2" borderId="23" xfId="0" applyNumberFormat="1" applyFont="1" applyFill="1" applyBorder="1" applyAlignment="1">
      <alignment horizontal="center" vertical="center" wrapText="1"/>
    </xf>
    <xf numFmtId="4" fontId="6" fillId="2" borderId="25" xfId="0" applyNumberFormat="1" applyFont="1" applyFill="1" applyBorder="1" applyAlignment="1">
      <alignment horizontal="center" vertical="center" wrapText="1"/>
    </xf>
    <xf numFmtId="4" fontId="6" fillId="2" borderId="47" xfId="0" applyNumberFormat="1" applyFont="1" applyFill="1" applyBorder="1" applyAlignment="1">
      <alignment horizontal="center" vertical="center"/>
    </xf>
    <xf numFmtId="4" fontId="6" fillId="2" borderId="26" xfId="0" applyNumberFormat="1" applyFont="1" applyFill="1" applyBorder="1" applyAlignment="1">
      <alignment horizontal="center" vertical="center"/>
    </xf>
    <xf numFmtId="4" fontId="6" fillId="2" borderId="27" xfId="0" applyNumberFormat="1" applyFont="1" applyFill="1" applyBorder="1" applyAlignment="1">
      <alignment horizontal="center" vertical="center"/>
    </xf>
    <xf numFmtId="4" fontId="7" fillId="2" borderId="27" xfId="0" applyNumberFormat="1" applyFont="1" applyFill="1" applyBorder="1" applyAlignment="1">
      <alignment horizontal="center" vertical="center"/>
    </xf>
    <xf numFmtId="4" fontId="6" fillId="2" borderId="28" xfId="0" applyNumberFormat="1" applyFont="1" applyFill="1" applyBorder="1" applyAlignment="1">
      <alignment horizontal="center"/>
    </xf>
    <xf numFmtId="4" fontId="6" fillId="2" borderId="48" xfId="0" applyNumberFormat="1" applyFont="1" applyFill="1" applyBorder="1" applyAlignment="1">
      <alignment horizontal="center"/>
    </xf>
    <xf numFmtId="4" fontId="6" fillId="2" borderId="26" xfId="0" applyNumberFormat="1" applyFont="1" applyFill="1" applyBorder="1" applyAlignment="1">
      <alignment horizontal="center" vertical="center" wrapText="1"/>
    </xf>
    <xf numFmtId="4" fontId="6" fillId="2" borderId="27" xfId="0" applyNumberFormat="1" applyFont="1" applyFill="1" applyBorder="1" applyAlignment="1">
      <alignment horizontal="center" vertical="center" wrapText="1"/>
    </xf>
    <xf numFmtId="4" fontId="6" fillId="2" borderId="28" xfId="0" applyNumberFormat="1" applyFont="1" applyFill="1" applyBorder="1" applyAlignment="1">
      <alignment horizontal="center" vertical="center" wrapText="1"/>
    </xf>
    <xf numFmtId="4" fontId="6" fillId="2" borderId="49" xfId="0" applyNumberFormat="1" applyFont="1" applyFill="1" applyBorder="1" applyAlignment="1">
      <alignment horizontal="center" vertical="center" wrapText="1"/>
    </xf>
    <xf numFmtId="4" fontId="6" fillId="2" borderId="31" xfId="0" applyNumberFormat="1" applyFont="1" applyFill="1" applyBorder="1" applyAlignment="1">
      <alignment wrapText="1"/>
    </xf>
    <xf numFmtId="4" fontId="6" fillId="2" borderId="31" xfId="0" applyNumberFormat="1" applyFont="1" applyFill="1" applyBorder="1" applyAlignment="1">
      <alignment horizontal="center"/>
    </xf>
    <xf numFmtId="3" fontId="6" fillId="2" borderId="31" xfId="0" applyNumberFormat="1" applyFont="1" applyFill="1" applyBorder="1" applyAlignment="1">
      <alignment horizontal="center"/>
    </xf>
    <xf numFmtId="164" fontId="6" fillId="2" borderId="32" xfId="0" applyNumberFormat="1" applyFont="1" applyFill="1" applyBorder="1"/>
    <xf numFmtId="0" fontId="0" fillId="26" borderId="0" xfId="0" applyFill="1" applyBorder="1"/>
    <xf numFmtId="4" fontId="6" fillId="2" borderId="10" xfId="0" applyNumberFormat="1" applyFont="1" applyFill="1" applyBorder="1"/>
    <xf numFmtId="4" fontId="6" fillId="2" borderId="11" xfId="0" applyNumberFormat="1" applyFont="1" applyFill="1" applyBorder="1" applyAlignment="1">
      <alignment horizontal="center"/>
    </xf>
    <xf numFmtId="3" fontId="7" fillId="2" borderId="11" xfId="0" applyNumberFormat="1" applyFont="1" applyFill="1" applyBorder="1" applyAlignment="1">
      <alignment horizontal="center"/>
    </xf>
    <xf numFmtId="3" fontId="7" fillId="2" borderId="16" xfId="0" applyNumberFormat="1" applyFont="1" applyFill="1" applyBorder="1"/>
    <xf numFmtId="3" fontId="6" fillId="2" borderId="11" xfId="0" applyNumberFormat="1" applyFont="1" applyFill="1" applyBorder="1" applyAlignment="1">
      <alignment horizontal="center"/>
    </xf>
    <xf numFmtId="4" fontId="7" fillId="2" borderId="16" xfId="0" applyNumberFormat="1" applyFont="1" applyFill="1" applyBorder="1"/>
    <xf numFmtId="4" fontId="6" fillId="2" borderId="16" xfId="0" applyNumberFormat="1" applyFont="1" applyFill="1" applyBorder="1" applyAlignment="1">
      <alignment horizontal="center"/>
    </xf>
    <xf numFmtId="164" fontId="7" fillId="2" borderId="16" xfId="0" applyNumberFormat="1" applyFont="1" applyFill="1" applyBorder="1"/>
    <xf numFmtId="164" fontId="6" fillId="2" borderId="16" xfId="0" applyNumberFormat="1" applyFont="1" applyFill="1" applyBorder="1"/>
    <xf numFmtId="4" fontId="7" fillId="2" borderId="11" xfId="0" applyNumberFormat="1" applyFont="1" applyFill="1" applyBorder="1" applyAlignment="1">
      <alignment horizontal="center"/>
    </xf>
    <xf numFmtId="3" fontId="6" fillId="2" borderId="16" xfId="0" applyNumberFormat="1" applyFont="1" applyFill="1" applyBorder="1"/>
    <xf numFmtId="4" fontId="7" fillId="2" borderId="10" xfId="0" applyNumberFormat="1" applyFont="1" applyFill="1" applyBorder="1"/>
    <xf numFmtId="4" fontId="7" fillId="2" borderId="11" xfId="0" applyNumberFormat="1" applyFont="1" applyFill="1" applyBorder="1" applyAlignment="1">
      <alignment horizontal="left"/>
    </xf>
    <xf numFmtId="0" fontId="0" fillId="2" borderId="0" xfId="0" applyFill="1" applyBorder="1"/>
    <xf numFmtId="164" fontId="6" fillId="2" borderId="11" xfId="0" applyNumberFormat="1" applyFont="1" applyFill="1" applyBorder="1" applyAlignment="1">
      <alignment horizontal="center"/>
    </xf>
    <xf numFmtId="165" fontId="6" fillId="2" borderId="16" xfId="0" applyNumberFormat="1" applyFont="1" applyFill="1" applyBorder="1" applyAlignment="1">
      <alignment horizontal="center"/>
    </xf>
    <xf numFmtId="4" fontId="7" fillId="2" borderId="11" xfId="0" applyNumberFormat="1" applyFont="1" applyFill="1" applyBorder="1" applyAlignment="1">
      <alignment horizontal="left" wrapText="1"/>
    </xf>
    <xf numFmtId="3" fontId="5" fillId="2" borderId="11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0" fillId="2" borderId="16" xfId="0" applyFill="1" applyBorder="1"/>
    <xf numFmtId="3" fontId="54" fillId="2" borderId="11" xfId="0" applyNumberFormat="1" applyFont="1" applyFill="1" applyBorder="1" applyAlignment="1">
      <alignment horizontal="center"/>
    </xf>
    <xf numFmtId="4" fontId="55" fillId="2" borderId="10" xfId="0" applyNumberFormat="1" applyFont="1" applyFill="1" applyBorder="1" applyAlignment="1">
      <alignment horizontal="center" vertical="center"/>
    </xf>
    <xf numFmtId="0" fontId="54" fillId="2" borderId="11" xfId="0" applyFont="1" applyFill="1" applyBorder="1" applyAlignment="1">
      <alignment horizontal="center"/>
    </xf>
    <xf numFmtId="4" fontId="7" fillId="2" borderId="11" xfId="0" applyNumberFormat="1" applyFont="1" applyFill="1" applyBorder="1" applyAlignment="1">
      <alignment horizontal="left" vertical="center" wrapText="1"/>
    </xf>
    <xf numFmtId="1" fontId="5" fillId="2" borderId="11" xfId="0" applyNumberFormat="1" applyFont="1" applyFill="1" applyBorder="1" applyAlignment="1">
      <alignment horizontal="center"/>
    </xf>
    <xf numFmtId="4" fontId="5" fillId="2" borderId="11" xfId="0" applyNumberFormat="1" applyFont="1" applyFill="1" applyBorder="1" applyAlignment="1">
      <alignment horizontal="center"/>
    </xf>
    <xf numFmtId="4" fontId="54" fillId="2" borderId="11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top"/>
    </xf>
    <xf numFmtId="3" fontId="7" fillId="2" borderId="11" xfId="134" applyNumberFormat="1" applyFont="1" applyFill="1" applyBorder="1" applyAlignment="1">
      <alignment horizontal="center"/>
    </xf>
    <xf numFmtId="3" fontId="4" fillId="2" borderId="11" xfId="134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top" wrapText="1"/>
    </xf>
    <xf numFmtId="0" fontId="7" fillId="2" borderId="11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/>
    </xf>
    <xf numFmtId="4" fontId="7" fillId="2" borderId="33" xfId="0" applyNumberFormat="1" applyFont="1" applyFill="1" applyBorder="1"/>
    <xf numFmtId="4" fontId="6" fillId="2" borderId="24" xfId="0" applyNumberFormat="1" applyFont="1" applyFill="1" applyBorder="1" applyAlignment="1">
      <alignment wrapText="1"/>
    </xf>
    <xf numFmtId="4" fontId="6" fillId="2" borderId="24" xfId="0" applyNumberFormat="1" applyFont="1" applyFill="1" applyBorder="1" applyAlignment="1">
      <alignment horizontal="center"/>
    </xf>
    <xf numFmtId="4" fontId="7" fillId="2" borderId="24" xfId="0" applyNumberFormat="1" applyFont="1" applyFill="1" applyBorder="1" applyAlignment="1">
      <alignment horizontal="center"/>
    </xf>
    <xf numFmtId="4" fontId="5" fillId="2" borderId="24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4" fontId="54" fillId="2" borderId="24" xfId="0" applyNumberFormat="1" applyFont="1" applyFill="1" applyBorder="1" applyAlignment="1">
      <alignment horizontal="center"/>
    </xf>
    <xf numFmtId="4" fontId="56" fillId="2" borderId="25" xfId="0" applyNumberFormat="1" applyFont="1" applyFill="1" applyBorder="1"/>
    <xf numFmtId="4" fontId="8" fillId="0" borderId="0" xfId="0" applyNumberFormat="1" applyFont="1" applyFill="1" applyBorder="1" applyAlignment="1">
      <alignment horizontal="left" wrapText="1"/>
    </xf>
    <xf numFmtId="4" fontId="8" fillId="0" borderId="0" xfId="0" applyNumberFormat="1" applyFont="1" applyFill="1" applyBorder="1" applyAlignment="1">
      <alignment horizontal="center" wrapText="1"/>
    </xf>
    <xf numFmtId="4" fontId="53" fillId="0" borderId="0" xfId="0" applyNumberFormat="1" applyFont="1" applyFill="1" applyAlignment="1">
      <alignment horizontal="center" vertical="center"/>
    </xf>
    <xf numFmtId="4" fontId="53" fillId="2" borderId="0" xfId="0" applyNumberFormat="1" applyFont="1" applyFill="1"/>
    <xf numFmtId="4" fontId="8" fillId="0" borderId="0" xfId="0" applyNumberFormat="1" applyFont="1" applyFill="1" applyAlignment="1">
      <alignment horizontal="center" vertical="center"/>
    </xf>
    <xf numFmtId="0" fontId="57" fillId="2" borderId="0" xfId="0" applyFont="1" applyFill="1"/>
    <xf numFmtId="0" fontId="57" fillId="2" borderId="0" xfId="0" applyFont="1" applyFill="1" applyAlignment="1">
      <alignment horizontal="right"/>
    </xf>
    <xf numFmtId="164" fontId="0" fillId="0" borderId="0" xfId="0" applyNumberFormat="1"/>
    <xf numFmtId="164" fontId="57" fillId="2" borderId="0" xfId="0" applyNumberFormat="1" applyFont="1" applyFill="1"/>
    <xf numFmtId="0" fontId="56" fillId="0" borderId="0" xfId="0" applyFont="1"/>
    <xf numFmtId="164" fontId="56" fillId="0" borderId="0" xfId="0" applyNumberFormat="1" applyFont="1"/>
    <xf numFmtId="3" fontId="56" fillId="0" borderId="0" xfId="0" applyNumberFormat="1" applyFont="1"/>
    <xf numFmtId="3" fontId="57" fillId="2" borderId="0" xfId="0" applyNumberFormat="1" applyFont="1" applyFill="1"/>
    <xf numFmtId="1" fontId="56" fillId="0" borderId="0" xfId="0" applyNumberFormat="1" applyFont="1"/>
    <xf numFmtId="0" fontId="58" fillId="0" borderId="0" xfId="0" applyFont="1" applyAlignment="1">
      <alignment horizontal="center"/>
    </xf>
    <xf numFmtId="0" fontId="58" fillId="0" borderId="26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/>
    </xf>
    <xf numFmtId="0" fontId="59" fillId="0" borderId="30" xfId="0" applyFont="1" applyBorder="1" applyAlignment="1">
      <alignment horizontal="center" vertical="center" wrapText="1"/>
    </xf>
    <xf numFmtId="2" fontId="59" fillId="0" borderId="32" xfId="0" applyNumberFormat="1" applyFont="1" applyBorder="1" applyAlignment="1">
      <alignment horizontal="center" vertical="center"/>
    </xf>
    <xf numFmtId="0" fontId="59" fillId="0" borderId="10" xfId="0" applyFont="1" applyBorder="1" applyAlignment="1">
      <alignment horizontal="center" vertical="center" wrapText="1"/>
    </xf>
    <xf numFmtId="2" fontId="59" fillId="0" borderId="16" xfId="0" applyNumberFormat="1" applyFont="1" applyBorder="1" applyAlignment="1">
      <alignment horizontal="center" vertical="center"/>
    </xf>
    <xf numFmtId="0" fontId="58" fillId="0" borderId="33" xfId="0" applyFont="1" applyBorder="1" applyAlignment="1">
      <alignment horizontal="center" vertical="center"/>
    </xf>
    <xf numFmtId="2" fontId="58" fillId="0" borderId="25" xfId="0" applyNumberFormat="1" applyFont="1" applyBorder="1" applyAlignment="1">
      <alignment horizontal="center" vertical="center"/>
    </xf>
    <xf numFmtId="0" fontId="58" fillId="0" borderId="0" xfId="0" applyFont="1" applyFill="1" applyBorder="1" applyAlignment="1">
      <alignment horizontal="center" wrapText="1"/>
    </xf>
    <xf numFmtId="0" fontId="58" fillId="0" borderId="0" xfId="0" applyFont="1" applyFill="1" applyBorder="1" applyAlignment="1">
      <alignment horizontal="left" wrapText="1"/>
    </xf>
    <xf numFmtId="0" fontId="58" fillId="0" borderId="0" xfId="0" applyFont="1" applyFill="1" applyBorder="1" applyAlignment="1">
      <alignment horizontal="center" wrapText="1"/>
    </xf>
    <xf numFmtId="0" fontId="58" fillId="0" borderId="0" xfId="0" applyFont="1" applyFill="1" applyBorder="1" applyAlignment="1">
      <alignment horizontal="center" vertical="center" wrapText="1"/>
    </xf>
    <xf numFmtId="0" fontId="58" fillId="0" borderId="0" xfId="0" applyFont="1" applyAlignment="1">
      <alignment horizontal="left"/>
    </xf>
  </cellXfs>
  <cellStyles count="16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 2" xfId="7"/>
    <cellStyle name="20% - Акцент2 2" xfId="8"/>
    <cellStyle name="20% - Акцент3 2" xfId="9"/>
    <cellStyle name="20% - Акцент4 2" xfId="10"/>
    <cellStyle name="20% - Акцент5 2" xfId="11"/>
    <cellStyle name="20% - Акцент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 2" xfId="19"/>
    <cellStyle name="40% - Акцент2 2" xfId="20"/>
    <cellStyle name="40% - Акцент3 2" xfId="21"/>
    <cellStyle name="40% - Акцент4 2" xfId="22"/>
    <cellStyle name="40% - Акцент5 2" xfId="23"/>
    <cellStyle name="40% - Акцент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 2" xfId="31"/>
    <cellStyle name="60% - Акцент2 2" xfId="32"/>
    <cellStyle name="60% - Акцент3 2" xfId="33"/>
    <cellStyle name="60% - Акцент4 2" xfId="34"/>
    <cellStyle name="60% - Акцент5 2" xfId="35"/>
    <cellStyle name="60% - Акцент6 2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Comma_Balance" xfId="46"/>
    <cellStyle name="Currency [0]_SCHEDULE.XLS" xfId="47"/>
    <cellStyle name="Currency_SCHEDULE.XLS" xfId="48"/>
    <cellStyle name="Euro" xfId="49"/>
    <cellStyle name="Explanatory Text" xfId="50"/>
    <cellStyle name="Good" xfId="51"/>
    <cellStyle name="Heading 1" xfId="52"/>
    <cellStyle name="Heading 2" xfId="53"/>
    <cellStyle name="Heading 3" xfId="54"/>
    <cellStyle name="Heading 4" xfId="55"/>
    <cellStyle name="Input" xfId="56"/>
    <cellStyle name="Linked Cell" xfId="57"/>
    <cellStyle name="Neutral" xfId="58"/>
    <cellStyle name="Normal_Sheet1" xfId="59"/>
    <cellStyle name="Note" xfId="60"/>
    <cellStyle name="Output" xfId="61"/>
    <cellStyle name="Percent_FinPlan" xfId="62"/>
    <cellStyle name="Title" xfId="63"/>
    <cellStyle name="Total" xfId="64"/>
    <cellStyle name="Warning Text" xfId="65"/>
    <cellStyle name="Акцент1 2" xfId="66"/>
    <cellStyle name="Акцент2 2" xfId="67"/>
    <cellStyle name="Акцент3 2" xfId="68"/>
    <cellStyle name="Акцент4 2" xfId="69"/>
    <cellStyle name="Акцент5 2" xfId="70"/>
    <cellStyle name="Акцент6 2" xfId="71"/>
    <cellStyle name="Баланс ИПК &quot;ШАРК&quot; (в рублях)" xfId="72"/>
    <cellStyle name="Ввод  2" xfId="73"/>
    <cellStyle name="Вывод 2" xfId="74"/>
    <cellStyle name="Вычисление 2" xfId="75"/>
    <cellStyle name="Денежный 2" xfId="76"/>
    <cellStyle name="Заголовок 1 2" xfId="77"/>
    <cellStyle name="Заголовок 2 2" xfId="78"/>
    <cellStyle name="Заголовок 3 2" xfId="79"/>
    <cellStyle name="Заголовок 4 2" xfId="80"/>
    <cellStyle name="Итог 2" xfId="81"/>
    <cellStyle name="Контрольная ячейка 2" xfId="82"/>
    <cellStyle name="Название 2" xfId="83"/>
    <cellStyle name="Нейтральный 2" xfId="84"/>
    <cellStyle name="Обычный" xfId="0" builtinId="0"/>
    <cellStyle name="Обычный 10" xfId="85"/>
    <cellStyle name="Обычный 11" xfId="86"/>
    <cellStyle name="Обычный 12" xfId="87"/>
    <cellStyle name="Обычный 13" xfId="88"/>
    <cellStyle name="Обычный 14" xfId="89"/>
    <cellStyle name="Обычный 15" xfId="90"/>
    <cellStyle name="Обычный 16" xfId="91"/>
    <cellStyle name="Обычный 16 2" xfId="92"/>
    <cellStyle name="Обычный 16_Иловалар" xfId="93"/>
    <cellStyle name="Обычный 17" xfId="94"/>
    <cellStyle name="Обычный 18" xfId="95"/>
    <cellStyle name="Обычный 19" xfId="96"/>
    <cellStyle name="Обычный 2" xfId="97"/>
    <cellStyle name="Обычный 2 2" xfId="98"/>
    <cellStyle name="Обычный 2 2 2" xfId="99"/>
    <cellStyle name="Обычный 2 2 3" xfId="100"/>
    <cellStyle name="Обычный 2 2_паспорт локализации холодильников 2012г версия для Р.М " xfId="101"/>
    <cellStyle name="Обычный 2 3" xfId="102"/>
    <cellStyle name="Обычный 2 3 2" xfId="103"/>
    <cellStyle name="Обычный 2 3_Иловалар" xfId="104"/>
    <cellStyle name="Обычный 2 4" xfId="105"/>
    <cellStyle name="Обычный 2_Прогноз Баланс и фин результат за 2014г для БП" xfId="106"/>
    <cellStyle name="Обычный 20" xfId="107"/>
    <cellStyle name="Обычный 26" xfId="108"/>
    <cellStyle name="Обычный 27" xfId="109"/>
    <cellStyle name="Обычный 28" xfId="110"/>
    <cellStyle name="Обычный 3" xfId="111"/>
    <cellStyle name="Обычный 3 2" xfId="112"/>
    <cellStyle name="Обычный 3 2 2" xfId="113"/>
    <cellStyle name="Обычный 3 2 2 2" xfId="114"/>
    <cellStyle name="Обычный 3 2 2_паспорт локализации холодильников 2012г версия для Р.М " xfId="115"/>
    <cellStyle name="Обычный 3 2 3" xfId="116"/>
    <cellStyle name="Обычный 3 2_паспорт локализации холодильников 2012г версия для Р.М " xfId="117"/>
    <cellStyle name="Обычный 3 3" xfId="118"/>
    <cellStyle name="Обычный 3_Сино-308 15.12.10" xfId="119"/>
    <cellStyle name="Обычный 4" xfId="120"/>
    <cellStyle name="Обычный 4 2" xfId="121"/>
    <cellStyle name="Обычный 4 2 2" xfId="122"/>
    <cellStyle name="Обычный 4 2 3" xfId="123"/>
    <cellStyle name="Обычный 4 2_паспорт локализации холодильников 2012г версия для Р.М " xfId="124"/>
    <cellStyle name="Обычный 4 3" xfId="125"/>
    <cellStyle name="Обычный 5" xfId="126"/>
    <cellStyle name="Обычный 5 2" xfId="127"/>
    <cellStyle name="Обычный 5 3" xfId="128"/>
    <cellStyle name="Обычный 5_паспорт локализации холодильников 2012г версия для Р.М " xfId="129"/>
    <cellStyle name="Обычный 6" xfId="130"/>
    <cellStyle name="Обычный 7" xfId="131"/>
    <cellStyle name="Обычный 8" xfId="132"/>
    <cellStyle name="Обычный 9" xfId="133"/>
    <cellStyle name="Обычный_Прогноз Баланс и фин результат за 2014г для БП" xfId="134"/>
    <cellStyle name="Плохой 2" xfId="135"/>
    <cellStyle name="Пояснение 2" xfId="136"/>
    <cellStyle name="Примечание 2" xfId="137"/>
    <cellStyle name="Процентный 2" xfId="138"/>
    <cellStyle name="Процентный 3" xfId="139"/>
    <cellStyle name="Процентный 3 2" xfId="140"/>
    <cellStyle name="Процентный 4" xfId="141"/>
    <cellStyle name="Процентный 5" xfId="142"/>
    <cellStyle name="Связанная ячейка 2" xfId="143"/>
    <cellStyle name="Текст предупреждения 2" xfId="144"/>
    <cellStyle name="Финансовый 2" xfId="145"/>
    <cellStyle name="Финансовый 2 2" xfId="146"/>
    <cellStyle name="Финансовый 2 2 2" xfId="147"/>
    <cellStyle name="Финансовый 2 2 2 2" xfId="148"/>
    <cellStyle name="Финансовый 2 3" xfId="149"/>
    <cellStyle name="Финансовый 3" xfId="150"/>
    <cellStyle name="Финансовый 3 2" xfId="151"/>
    <cellStyle name="Финансовый 4" xfId="152"/>
    <cellStyle name="Финансовый 4 2" xfId="153"/>
    <cellStyle name="Финансовый 4 3" xfId="154"/>
    <cellStyle name="Финансовый 5" xfId="155"/>
    <cellStyle name="Финансовый 6" xfId="156"/>
    <cellStyle name="Финансовый 7" xfId="157"/>
    <cellStyle name="Финансовый 8" xfId="158"/>
    <cellStyle name="Хороший 2" xfId="159"/>
    <cellStyle name="표준_BACK-UP" xfId="160"/>
    <cellStyle name="常规_PK_CNcntr(Bolt-11)" xfId="1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4;&#1086;&#1080;%20&#1076;&#1086;&#1082;&#1091;&#1084;&#1077;&#1085;&#1090;&#1099;\&#1076;&#1086;&#1082;&#1091;&#1084;&#1077;&#1085;&#1090;&#1099;%20&#1089;%20&#1089;%20&#1076;&#1080;&#1089;&#1082;&#1072;\&#1041;&#1080;&#1079;&#1085;&#1077;&#1089;-&#1087;&#1083;&#1072;&#1085;\&#1041;&#1080;&#1079;&#1085;&#1077;&#1089;%20&#1087;&#1083;&#1072;&#1085;%202023\&#1050;&#1055;&#1069;%20&#1092;&#1072;&#1082;&#1090;%20&#1079;&#1072;%202023&#1075;%20&#1041;&#1048;&#1054;&#1050;&#1048;&#1052;&#102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ПЭ основ"/>
      <sheetName val="КПЭ допол"/>
      <sheetName val="КПЭ осн 1кв 23г"/>
      <sheetName val="КПЭ допол 1кв23"/>
      <sheetName val="Интеграл коэф 1кв 23"/>
      <sheetName val="КПЭ основ1пг23"/>
      <sheetName val="КПЭ допол 1пг23"/>
      <sheetName val="Интеграл коэф 1пг 23 "/>
      <sheetName val="Интеграл коэф 9мес 23 "/>
      <sheetName val="КПЭ основ 9 мес"/>
      <sheetName val="КПЭ допол9 мес"/>
      <sheetName val="Интеграл коэф 9мес 23  (2)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5">
          <cell r="S45">
            <v>135.20078214416696</v>
          </cell>
        </row>
      </sheetData>
      <sheetData sheetId="10">
        <row r="88">
          <cell r="S88">
            <v>131.41798407613607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A67"/>
  <sheetViews>
    <sheetView topLeftCell="A34" workbookViewId="0">
      <selection activeCell="C55" sqref="C55"/>
    </sheetView>
  </sheetViews>
  <sheetFormatPr defaultRowHeight="12.75"/>
  <cols>
    <col min="1" max="1" width="5.140625" customWidth="1"/>
    <col min="2" max="2" width="33" customWidth="1"/>
    <col min="3" max="3" width="10.85546875" customWidth="1"/>
    <col min="4" max="4" width="8.28515625" hidden="1" customWidth="1"/>
    <col min="5" max="5" width="15.7109375" hidden="1" customWidth="1"/>
    <col min="6" max="6" width="12.42578125" hidden="1" customWidth="1"/>
    <col min="7" max="7" width="13.85546875" customWidth="1"/>
    <col min="8" max="8" width="13.5703125" hidden="1" customWidth="1"/>
    <col min="9" max="9" width="10.5703125" hidden="1" customWidth="1"/>
    <col min="10" max="10" width="11.85546875" hidden="1" customWidth="1"/>
    <col min="11" max="11" width="13.85546875" customWidth="1"/>
    <col min="12" max="12" width="12.28515625" hidden="1" customWidth="1"/>
    <col min="13" max="13" width="10.140625" hidden="1" customWidth="1"/>
    <col min="14" max="14" width="0" hidden="1" customWidth="1"/>
    <col min="15" max="15" width="12.85546875" customWidth="1"/>
    <col min="16" max="18" width="0" hidden="1" customWidth="1"/>
    <col min="19" max="19" width="10" customWidth="1"/>
    <col min="20" max="20" width="0" hidden="1" customWidth="1"/>
  </cols>
  <sheetData>
    <row r="1" spans="1:21" ht="15">
      <c r="A1" s="1" t="s">
        <v>0</v>
      </c>
      <c r="B1" s="1"/>
      <c r="C1" s="2"/>
      <c r="D1" s="2"/>
      <c r="E1" s="3"/>
      <c r="F1" s="4" t="s">
        <v>1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21" ht="15">
      <c r="A2" s="3" t="s">
        <v>2</v>
      </c>
      <c r="B2" s="3"/>
      <c r="C2" s="2"/>
      <c r="D2" s="2"/>
      <c r="E2" s="3"/>
      <c r="F2" s="5" t="s">
        <v>3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1" ht="15">
      <c r="A3" s="3" t="s">
        <v>4</v>
      </c>
      <c r="B3" s="3"/>
      <c r="C3" s="2"/>
      <c r="D3" s="2"/>
      <c r="E3" s="3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1" ht="19.5" customHeight="1">
      <c r="A4" s="3"/>
      <c r="B4" s="3"/>
      <c r="C4" s="2"/>
      <c r="D4" s="2"/>
      <c r="E4" s="3"/>
      <c r="F4" s="6" t="s">
        <v>6</v>
      </c>
      <c r="G4" s="6" t="s">
        <v>7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21" ht="15">
      <c r="A5" s="3"/>
      <c r="B5" s="3"/>
      <c r="C5" s="2" t="s">
        <v>8</v>
      </c>
      <c r="D5" s="2"/>
      <c r="E5" s="3"/>
      <c r="F5" s="6" t="s">
        <v>9</v>
      </c>
      <c r="G5" s="6" t="s">
        <v>10</v>
      </c>
      <c r="H5" s="6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21" ht="15">
      <c r="A6" s="8"/>
      <c r="B6" s="8"/>
      <c r="C6" s="8"/>
      <c r="D6" s="8"/>
      <c r="E6" s="8"/>
      <c r="F6" s="8"/>
      <c r="G6" s="8"/>
      <c r="H6" s="8"/>
    </row>
    <row r="7" spans="1:21" ht="14.25">
      <c r="A7" s="4" t="s">
        <v>11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21" ht="39" customHeight="1">
      <c r="A8" s="9" t="s">
        <v>12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21" ht="15" thickBot="1">
      <c r="A9" s="10"/>
      <c r="B9" s="10"/>
      <c r="C9" s="11"/>
      <c r="D9" s="11"/>
      <c r="E9" s="10"/>
      <c r="F9" s="10"/>
      <c r="G9" s="10"/>
      <c r="H9" s="10" t="s">
        <v>13</v>
      </c>
    </row>
    <row r="10" spans="1:21" ht="12.75" customHeight="1">
      <c r="A10" s="12" t="s">
        <v>14</v>
      </c>
      <c r="B10" s="13" t="s">
        <v>15</v>
      </c>
      <c r="C10" s="14" t="s">
        <v>16</v>
      </c>
      <c r="D10" s="15" t="s">
        <v>17</v>
      </c>
      <c r="E10" s="16"/>
      <c r="F10" s="17"/>
      <c r="G10" s="18" t="s">
        <v>18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9"/>
      <c r="T10" s="20"/>
      <c r="U10" s="21"/>
    </row>
    <row r="11" spans="1:21">
      <c r="A11" s="22"/>
      <c r="B11" s="23"/>
      <c r="C11" s="24"/>
      <c r="D11" s="25"/>
      <c r="E11" s="26" t="s">
        <v>19</v>
      </c>
      <c r="F11" s="26"/>
      <c r="G11" s="24" t="s">
        <v>20</v>
      </c>
      <c r="H11" s="26"/>
      <c r="I11" s="26" t="s">
        <v>19</v>
      </c>
      <c r="J11" s="26"/>
      <c r="K11" s="24" t="s">
        <v>21</v>
      </c>
      <c r="L11" s="26"/>
      <c r="M11" s="27"/>
      <c r="N11" s="28"/>
      <c r="O11" s="29" t="s">
        <v>22</v>
      </c>
      <c r="P11" s="30"/>
      <c r="Q11" s="31"/>
      <c r="R11" s="24" t="s">
        <v>23</v>
      </c>
      <c r="S11" s="32" t="s">
        <v>24</v>
      </c>
      <c r="T11" s="33"/>
      <c r="U11" s="21"/>
    </row>
    <row r="12" spans="1:21" ht="26.25" thickBot="1">
      <c r="A12" s="34"/>
      <c r="B12" s="35"/>
      <c r="C12" s="36"/>
      <c r="D12" s="37"/>
      <c r="E12" s="38" t="s">
        <v>25</v>
      </c>
      <c r="F12" s="38" t="s">
        <v>26</v>
      </c>
      <c r="G12" s="36"/>
      <c r="H12" s="39" t="s">
        <v>27</v>
      </c>
      <c r="I12" s="38" t="s">
        <v>25</v>
      </c>
      <c r="J12" s="38" t="s">
        <v>26</v>
      </c>
      <c r="K12" s="36"/>
      <c r="L12" s="39" t="s">
        <v>27</v>
      </c>
      <c r="M12" s="40"/>
      <c r="N12" s="41"/>
      <c r="O12" s="42"/>
      <c r="P12" s="43"/>
      <c r="Q12" s="44"/>
      <c r="R12" s="45"/>
      <c r="S12" s="46"/>
      <c r="T12" s="33"/>
      <c r="U12" s="21"/>
    </row>
    <row r="13" spans="1:21" ht="13.5" thickBot="1">
      <c r="A13" s="47"/>
      <c r="B13" s="48"/>
      <c r="C13" s="49" t="s">
        <v>28</v>
      </c>
      <c r="D13" s="49" t="s">
        <v>28</v>
      </c>
      <c r="E13" s="50" t="s">
        <v>29</v>
      </c>
      <c r="F13" s="50" t="s">
        <v>29</v>
      </c>
      <c r="G13" s="50" t="s">
        <v>29</v>
      </c>
      <c r="H13" s="50" t="s">
        <v>29</v>
      </c>
      <c r="I13" s="50" t="s">
        <v>30</v>
      </c>
      <c r="J13" s="50" t="s">
        <v>30</v>
      </c>
      <c r="K13" s="50" t="s">
        <v>30</v>
      </c>
      <c r="L13" s="50" t="s">
        <v>30</v>
      </c>
      <c r="M13" s="51" t="s">
        <v>31</v>
      </c>
      <c r="N13" s="51" t="s">
        <v>31</v>
      </c>
      <c r="O13" s="51" t="s">
        <v>31</v>
      </c>
      <c r="P13" s="51" t="s">
        <v>31</v>
      </c>
      <c r="Q13" s="51"/>
      <c r="R13" s="51"/>
      <c r="S13" s="52"/>
      <c r="T13" s="53"/>
      <c r="U13" s="21"/>
    </row>
    <row r="14" spans="1:21" ht="25.5">
      <c r="A14" s="54" t="s">
        <v>32</v>
      </c>
      <c r="B14" s="55" t="s">
        <v>33</v>
      </c>
      <c r="C14" s="56">
        <v>20</v>
      </c>
      <c r="D14" s="56">
        <v>20</v>
      </c>
      <c r="E14" s="57">
        <v>74286736</v>
      </c>
      <c r="F14" s="57">
        <f>E14+73667627</f>
        <v>147954363</v>
      </c>
      <c r="G14" s="57">
        <f>F14+72518024</f>
        <v>220472387</v>
      </c>
      <c r="H14" s="57">
        <f>G14+79224420</f>
        <v>299696807</v>
      </c>
      <c r="I14" s="58">
        <v>59898329</v>
      </c>
      <c r="J14" s="58">
        <v>128948853</v>
      </c>
      <c r="K14" s="57">
        <v>200299658</v>
      </c>
      <c r="L14" s="57"/>
      <c r="M14" s="59">
        <f t="shared" ref="M14:P15" si="0">I14/E14*100</f>
        <v>80.631256971634883</v>
      </c>
      <c r="N14" s="59">
        <f t="shared" si="0"/>
        <v>87.154478168379541</v>
      </c>
      <c r="O14" s="59">
        <f t="shared" si="0"/>
        <v>90.850224250531653</v>
      </c>
      <c r="P14" s="59">
        <f t="shared" si="0"/>
        <v>0</v>
      </c>
      <c r="Q14" s="59">
        <f>M14*D14/100</f>
        <v>16.126251394326978</v>
      </c>
      <c r="R14" s="59">
        <f>C14*N14/100</f>
        <v>17.43089563367591</v>
      </c>
      <c r="S14" s="60">
        <f>O14*C14/100</f>
        <v>18.170044850106329</v>
      </c>
      <c r="T14" s="61">
        <f>C14*P14/100</f>
        <v>0</v>
      </c>
      <c r="U14" s="21" t="s">
        <v>34</v>
      </c>
    </row>
    <row r="15" spans="1:21" ht="14.25">
      <c r="A15" s="62" t="s">
        <v>35</v>
      </c>
      <c r="B15" s="63" t="s">
        <v>36</v>
      </c>
      <c r="C15" s="64">
        <v>20</v>
      </c>
      <c r="D15" s="64">
        <v>20</v>
      </c>
      <c r="E15" s="65">
        <v>4651176</v>
      </c>
      <c r="F15" s="65">
        <f>E15+5337332</f>
        <v>9988508</v>
      </c>
      <c r="G15" s="65">
        <f>F15+7215134</f>
        <v>17203642</v>
      </c>
      <c r="H15" s="65">
        <f>G15+8659402</f>
        <v>25863044</v>
      </c>
      <c r="I15" s="66">
        <v>8966464</v>
      </c>
      <c r="J15" s="66">
        <v>18041042</v>
      </c>
      <c r="K15" s="65">
        <v>33475655</v>
      </c>
      <c r="L15" s="65"/>
      <c r="M15" s="67">
        <f t="shared" si="0"/>
        <v>192.77842850926302</v>
      </c>
      <c r="N15" s="67">
        <f t="shared" si="0"/>
        <v>180.61798618972924</v>
      </c>
      <c r="O15" s="67">
        <f t="shared" si="0"/>
        <v>194.58469898408723</v>
      </c>
      <c r="P15" s="67">
        <f t="shared" si="0"/>
        <v>0</v>
      </c>
      <c r="Q15" s="67">
        <f>M15*D15/100</f>
        <v>38.555685701852603</v>
      </c>
      <c r="R15" s="67">
        <f>C15*N15/100</f>
        <v>36.123597237945845</v>
      </c>
      <c r="S15" s="68">
        <f>O15*C15/100</f>
        <v>38.916939796817445</v>
      </c>
      <c r="T15" s="61">
        <f>C15*P15/100</f>
        <v>0</v>
      </c>
      <c r="U15" s="21" t="s">
        <v>34</v>
      </c>
    </row>
    <row r="16" spans="1:21" ht="15">
      <c r="A16" s="62" t="s">
        <v>37</v>
      </c>
      <c r="B16" s="69" t="s">
        <v>38</v>
      </c>
      <c r="C16" s="64"/>
      <c r="D16" s="64"/>
      <c r="E16" s="70"/>
      <c r="F16" s="70"/>
      <c r="G16" s="70"/>
      <c r="H16" s="70"/>
      <c r="I16" s="71"/>
      <c r="J16" s="71"/>
      <c r="K16" s="70"/>
      <c r="L16" s="70"/>
      <c r="M16" s="70"/>
      <c r="N16" s="67"/>
      <c r="O16" s="67"/>
      <c r="P16" s="67"/>
      <c r="Q16" s="67">
        <f>M16*D16/100</f>
        <v>0</v>
      </c>
      <c r="R16" s="67"/>
      <c r="S16" s="68"/>
      <c r="T16" s="61"/>
      <c r="U16" s="21"/>
    </row>
    <row r="17" spans="1:21" ht="14.25">
      <c r="A17" s="62"/>
      <c r="B17" s="72" t="s">
        <v>39</v>
      </c>
      <c r="C17" s="64">
        <v>5</v>
      </c>
      <c r="D17" s="64">
        <v>15</v>
      </c>
      <c r="E17" s="64">
        <f>E18/E19</f>
        <v>7.3522789714937281E-2</v>
      </c>
      <c r="F17" s="64">
        <f>F18/F19</f>
        <v>0.15564591287135773</v>
      </c>
      <c r="G17" s="64">
        <f>G18/G19</f>
        <v>0.27031788687599578</v>
      </c>
      <c r="H17" s="64">
        <f>H18/H19</f>
        <v>0.36172986181426608</v>
      </c>
      <c r="I17" s="73">
        <f t="shared" ref="I17:K17" si="1">I18/I19</f>
        <v>0.13289003310676442</v>
      </c>
      <c r="J17" s="73">
        <f t="shared" si="1"/>
        <v>0.2741050979677756</v>
      </c>
      <c r="K17" s="64">
        <f t="shared" si="1"/>
        <v>0.4794891612232472</v>
      </c>
      <c r="L17" s="64"/>
      <c r="M17" s="67">
        <f>I17/E17*100</f>
        <v>180.74672305281933</v>
      </c>
      <c r="N17" s="67">
        <f>J17/F17*100</f>
        <v>176.10812446731262</v>
      </c>
      <c r="O17" s="67">
        <f>K17/G17*100</f>
        <v>177.3797386346119</v>
      </c>
      <c r="P17" s="67">
        <f>L17/H17*100</f>
        <v>0</v>
      </c>
      <c r="Q17" s="67">
        <f>M17*D17/100</f>
        <v>27.112008457922901</v>
      </c>
      <c r="R17" s="67">
        <f>C17*N17/100</f>
        <v>8.8054062233656296</v>
      </c>
      <c r="S17" s="68">
        <f>O17*C17/100</f>
        <v>8.8689869317305945</v>
      </c>
      <c r="T17" s="61">
        <f>C17*P17/100</f>
        <v>0</v>
      </c>
      <c r="U17" s="21" t="s">
        <v>34</v>
      </c>
    </row>
    <row r="18" spans="1:21" ht="59.25" customHeight="1">
      <c r="A18" s="62"/>
      <c r="B18" s="74" t="s">
        <v>40</v>
      </c>
      <c r="C18" s="64"/>
      <c r="D18" s="64"/>
      <c r="E18" s="75">
        <v>5324899</v>
      </c>
      <c r="F18" s="75">
        <f>E18+6103369</f>
        <v>11428268</v>
      </c>
      <c r="G18" s="75">
        <f>F18+8240734</f>
        <v>19669002</v>
      </c>
      <c r="H18" s="75">
        <f>G18+9677203</f>
        <v>29346205</v>
      </c>
      <c r="I18" s="76">
        <v>10574360</v>
      </c>
      <c r="J18" s="76">
        <v>21305811</v>
      </c>
      <c r="K18" s="75">
        <v>39724520</v>
      </c>
      <c r="L18" s="75"/>
      <c r="M18" s="70"/>
      <c r="N18" s="70"/>
      <c r="O18" s="70"/>
      <c r="P18" s="70"/>
      <c r="Q18" s="70"/>
      <c r="R18" s="70"/>
      <c r="S18" s="77"/>
      <c r="T18" s="78"/>
      <c r="U18" s="21"/>
    </row>
    <row r="19" spans="1:21" ht="133.5" customHeight="1">
      <c r="A19" s="62"/>
      <c r="B19" s="79" t="s">
        <v>41</v>
      </c>
      <c r="C19" s="64"/>
      <c r="D19" s="64"/>
      <c r="E19" s="75">
        <v>72425149</v>
      </c>
      <c r="F19" s="75">
        <v>73424787</v>
      </c>
      <c r="G19" s="75">
        <v>72762488</v>
      </c>
      <c r="H19" s="75">
        <v>81127405</v>
      </c>
      <c r="I19" s="76">
        <f>(I55+J55)/2</f>
        <v>79572258</v>
      </c>
      <c r="J19" s="76">
        <f>(I55+K55)/2</f>
        <v>77728620</v>
      </c>
      <c r="K19" s="75">
        <f>(I55+L55)/2</f>
        <v>82847587</v>
      </c>
      <c r="L19" s="75"/>
      <c r="M19" s="70"/>
      <c r="N19" s="70"/>
      <c r="O19" s="70"/>
      <c r="P19" s="70"/>
      <c r="Q19" s="70"/>
      <c r="R19" s="70"/>
      <c r="S19" s="77"/>
      <c r="T19" s="78"/>
      <c r="U19" s="21"/>
    </row>
    <row r="20" spans="1:21" ht="38.25">
      <c r="A20" s="62" t="s">
        <v>42</v>
      </c>
      <c r="B20" s="63" t="s">
        <v>43</v>
      </c>
      <c r="C20" s="64">
        <v>10</v>
      </c>
      <c r="D20" s="64">
        <v>10</v>
      </c>
      <c r="E20" s="64">
        <f>E21/E22</f>
        <v>0.84172628071853905</v>
      </c>
      <c r="F20" s="64">
        <f>F21/F22</f>
        <v>0.83927713574759533</v>
      </c>
      <c r="G20" s="64">
        <f>G21/G22</f>
        <v>0.82641988631438001</v>
      </c>
      <c r="H20" s="64">
        <f>H21/H22</f>
        <v>0.81923997608689902</v>
      </c>
      <c r="I20" s="73">
        <f t="shared" ref="I20:K20" si="2">I21/I22</f>
        <v>0.76142060657485122</v>
      </c>
      <c r="J20" s="73">
        <f t="shared" si="2"/>
        <v>0.76967865700984561</v>
      </c>
      <c r="K20" s="64">
        <f t="shared" si="2"/>
        <v>0.73383270579523407</v>
      </c>
      <c r="L20" s="64"/>
      <c r="M20" s="64">
        <f>E20/I20*100</f>
        <v>110.54682175006165</v>
      </c>
      <c r="N20" s="64">
        <f>F20/J20*100</f>
        <v>109.04253718144344</v>
      </c>
      <c r="O20" s="64">
        <f>H20/K20*100</f>
        <v>111.6385205534157</v>
      </c>
      <c r="P20" s="64" t="e">
        <f>H20/L20*100</f>
        <v>#DIV/0!</v>
      </c>
      <c r="Q20" s="67">
        <f>M20*D20/100</f>
        <v>11.054682175006164</v>
      </c>
      <c r="R20" s="67">
        <f>C20*N20/100</f>
        <v>10.904253718144343</v>
      </c>
      <c r="S20" s="68">
        <f>C20*O20/100</f>
        <v>11.16385205534157</v>
      </c>
      <c r="T20" s="80" t="e">
        <f>C20*P20/100</f>
        <v>#DIV/0!</v>
      </c>
      <c r="U20" s="21" t="s">
        <v>44</v>
      </c>
    </row>
    <row r="21" spans="1:21" ht="30" customHeight="1">
      <c r="A21" s="62"/>
      <c r="B21" s="63" t="s">
        <v>45</v>
      </c>
      <c r="C21" s="64"/>
      <c r="D21" s="64"/>
      <c r="E21" s="75">
        <v>62529098</v>
      </c>
      <c r="F21" s="75">
        <f>E21+61645616</f>
        <v>124174714</v>
      </c>
      <c r="G21" s="75">
        <f>F21+58028051</f>
        <v>182202765</v>
      </c>
      <c r="H21" s="75">
        <f>G21+63320840</f>
        <v>245523605</v>
      </c>
      <c r="I21" s="76">
        <v>45607822</v>
      </c>
      <c r="J21" s="76">
        <v>99249180</v>
      </c>
      <c r="K21" s="75">
        <v>146986440</v>
      </c>
      <c r="L21" s="75"/>
      <c r="M21" s="81"/>
      <c r="N21" s="81"/>
      <c r="O21" s="81"/>
      <c r="P21" s="81"/>
      <c r="Q21" s="81"/>
      <c r="R21" s="81"/>
      <c r="S21" s="82"/>
      <c r="T21" s="83"/>
      <c r="U21" s="21"/>
    </row>
    <row r="22" spans="1:21" ht="33.75" customHeight="1">
      <c r="A22" s="62"/>
      <c r="B22" s="63" t="s">
        <v>46</v>
      </c>
      <c r="C22" s="70"/>
      <c r="D22" s="70"/>
      <c r="E22" s="65">
        <v>74286736</v>
      </c>
      <c r="F22" s="65">
        <f>E22+73667627</f>
        <v>147954363</v>
      </c>
      <c r="G22" s="65">
        <f>F22+72518024</f>
        <v>220472387</v>
      </c>
      <c r="H22" s="65">
        <f>G22+79224420</f>
        <v>299696807</v>
      </c>
      <c r="I22" s="76">
        <v>59898329</v>
      </c>
      <c r="J22" s="76">
        <v>128948853</v>
      </c>
      <c r="K22" s="75">
        <v>200299658</v>
      </c>
      <c r="L22" s="75"/>
      <c r="M22" s="81"/>
      <c r="N22" s="81"/>
      <c r="O22" s="81"/>
      <c r="P22" s="81"/>
      <c r="Q22" s="81"/>
      <c r="R22" s="81"/>
      <c r="S22" s="82"/>
      <c r="T22" s="83"/>
      <c r="U22" s="21"/>
    </row>
    <row r="23" spans="1:21" ht="60.75" customHeight="1">
      <c r="A23" s="62" t="s">
        <v>47</v>
      </c>
      <c r="B23" s="84" t="s">
        <v>48</v>
      </c>
      <c r="C23" s="64"/>
      <c r="D23" s="64"/>
      <c r="E23" s="70"/>
      <c r="F23" s="70"/>
      <c r="G23" s="70"/>
      <c r="H23" s="70"/>
      <c r="I23" s="71"/>
      <c r="J23" s="71"/>
      <c r="K23" s="70"/>
      <c r="L23" s="70"/>
      <c r="M23" s="70"/>
      <c r="N23" s="70"/>
      <c r="O23" s="70"/>
      <c r="P23" s="70"/>
      <c r="Q23" s="70"/>
      <c r="R23" s="70"/>
      <c r="S23" s="77"/>
      <c r="T23" s="78"/>
      <c r="U23" s="21"/>
    </row>
    <row r="24" spans="1:21" ht="25.5">
      <c r="A24" s="62"/>
      <c r="B24" s="84" t="s">
        <v>49</v>
      </c>
      <c r="C24" s="64">
        <v>15</v>
      </c>
      <c r="D24" s="64">
        <v>15</v>
      </c>
      <c r="E24" s="64">
        <f>E25/E26</f>
        <v>0.79542927051562351</v>
      </c>
      <c r="F24" s="64">
        <f>F25/F26</f>
        <v>0.78754566186305308</v>
      </c>
      <c r="G24" s="64">
        <f>G25/G26</f>
        <v>0.80943867678464221</v>
      </c>
      <c r="H24" s="64">
        <f>H25/H26</f>
        <v>0.8150980986452564</v>
      </c>
      <c r="I24" s="73">
        <f t="shared" ref="I24:K24" si="3">I25/I26</f>
        <v>0.79633167108187319</v>
      </c>
      <c r="J24" s="73">
        <f t="shared" si="3"/>
        <v>0.51070538889006389</v>
      </c>
      <c r="K24" s="64">
        <f t="shared" si="3"/>
        <v>0.79173290867370838</v>
      </c>
      <c r="L24" s="64"/>
      <c r="M24" s="67">
        <f>I24/E24*100</f>
        <v>100.11344824734256</v>
      </c>
      <c r="N24" s="67">
        <f>J24/F24*100</f>
        <v>64.847717868436533</v>
      </c>
      <c r="O24" s="67">
        <f>K24/G24*100</f>
        <v>97.812586843358289</v>
      </c>
      <c r="P24" s="67">
        <f>L24/H24*100</f>
        <v>0</v>
      </c>
      <c r="Q24" s="67">
        <f>M24*D24/100</f>
        <v>15.017017237101383</v>
      </c>
      <c r="R24" s="67">
        <f>C24*N24/100</f>
        <v>9.7271576802654796</v>
      </c>
      <c r="S24" s="68">
        <f>O24*C24/100</f>
        <v>14.671888026503744</v>
      </c>
      <c r="T24" s="61">
        <f>C24*P24/100</f>
        <v>0</v>
      </c>
      <c r="U24" s="21" t="s">
        <v>50</v>
      </c>
    </row>
    <row r="25" spans="1:21" ht="56.25" customHeight="1">
      <c r="A25" s="62"/>
      <c r="B25" s="85" t="s">
        <v>51</v>
      </c>
      <c r="C25" s="64"/>
      <c r="D25" s="64"/>
      <c r="E25" s="65">
        <v>74286736</v>
      </c>
      <c r="F25" s="65">
        <f>E25+73667627</f>
        <v>147954363</v>
      </c>
      <c r="G25" s="65">
        <f>F25+72518024</f>
        <v>220472387</v>
      </c>
      <c r="H25" s="65">
        <f>G25+79224420</f>
        <v>299696807</v>
      </c>
      <c r="I25" s="76">
        <v>74371013</v>
      </c>
      <c r="J25" s="76">
        <v>139104344</v>
      </c>
      <c r="K25" s="75">
        <v>215649745</v>
      </c>
      <c r="L25" s="75"/>
      <c r="M25" s="65"/>
      <c r="N25" s="65"/>
      <c r="O25" s="65"/>
      <c r="P25" s="65"/>
      <c r="Q25" s="65"/>
      <c r="R25" s="65"/>
      <c r="S25" s="86"/>
      <c r="T25" s="87"/>
      <c r="U25" s="21"/>
    </row>
    <row r="26" spans="1:21" ht="96" customHeight="1">
      <c r="A26" s="62"/>
      <c r="B26" s="85" t="s">
        <v>52</v>
      </c>
      <c r="C26" s="64"/>
      <c r="D26" s="64"/>
      <c r="E26" s="75">
        <v>93392007</v>
      </c>
      <c r="F26" s="75">
        <f>E26+94475656</f>
        <v>187867663</v>
      </c>
      <c r="G26" s="75">
        <f>F26+84509224</f>
        <v>272376887</v>
      </c>
      <c r="H26" s="75">
        <f>G26+95304999+1</f>
        <v>367681887</v>
      </c>
      <c r="I26" s="76">
        <v>93392007</v>
      </c>
      <c r="J26" s="76">
        <v>272376887</v>
      </c>
      <c r="K26" s="75">
        <v>272376887</v>
      </c>
      <c r="L26" s="75"/>
      <c r="M26" s="75"/>
      <c r="N26" s="75"/>
      <c r="O26" s="75"/>
      <c r="P26" s="75"/>
      <c r="Q26" s="75"/>
      <c r="R26" s="75"/>
      <c r="S26" s="88"/>
      <c r="T26" s="89"/>
      <c r="U26" s="21"/>
    </row>
    <row r="27" spans="1:21" ht="43.5" customHeight="1">
      <c r="A27" s="62"/>
      <c r="B27" s="85" t="s">
        <v>53</v>
      </c>
      <c r="C27" s="64"/>
      <c r="D27" s="64"/>
      <c r="E27" s="70">
        <v>0</v>
      </c>
      <c r="F27" s="70">
        <v>0</v>
      </c>
      <c r="G27" s="75">
        <v>0</v>
      </c>
      <c r="H27" s="75">
        <v>0</v>
      </c>
      <c r="I27" s="76">
        <v>0</v>
      </c>
      <c r="J27" s="76"/>
      <c r="K27" s="75">
        <v>0</v>
      </c>
      <c r="L27" s="70"/>
      <c r="M27" s="70"/>
      <c r="N27" s="70"/>
      <c r="O27" s="70"/>
      <c r="P27" s="70"/>
      <c r="Q27" s="70"/>
      <c r="R27" s="70"/>
      <c r="S27" s="77"/>
      <c r="T27" s="78"/>
      <c r="U27" s="21"/>
    </row>
    <row r="28" spans="1:21" ht="43.5" customHeight="1">
      <c r="A28" s="62"/>
      <c r="B28" s="85" t="s">
        <v>54</v>
      </c>
      <c r="C28" s="64"/>
      <c r="D28" s="64"/>
      <c r="E28" s="70">
        <v>0</v>
      </c>
      <c r="F28" s="70">
        <v>0</v>
      </c>
      <c r="G28" s="75">
        <v>0</v>
      </c>
      <c r="H28" s="75">
        <v>0</v>
      </c>
      <c r="I28" s="76">
        <v>0</v>
      </c>
      <c r="J28" s="76"/>
      <c r="K28" s="75">
        <v>0</v>
      </c>
      <c r="L28" s="70"/>
      <c r="M28" s="70"/>
      <c r="N28" s="70"/>
      <c r="O28" s="70"/>
      <c r="P28" s="70"/>
      <c r="Q28" s="70"/>
      <c r="R28" s="70"/>
      <c r="S28" s="77"/>
      <c r="T28" s="78"/>
      <c r="U28" s="21"/>
    </row>
    <row r="29" spans="1:21" ht="26.25">
      <c r="A29" s="62" t="s">
        <v>55</v>
      </c>
      <c r="B29" s="90" t="s">
        <v>56</v>
      </c>
      <c r="C29" s="64"/>
      <c r="D29" s="64"/>
      <c r="E29" s="70"/>
      <c r="F29" s="70"/>
      <c r="G29" s="70"/>
      <c r="H29" s="70"/>
      <c r="I29" s="71"/>
      <c r="J29" s="70"/>
      <c r="K29" s="70"/>
      <c r="L29" s="70"/>
      <c r="M29" s="70"/>
      <c r="N29" s="70"/>
      <c r="O29" s="70"/>
      <c r="P29" s="70"/>
      <c r="Q29" s="70"/>
      <c r="R29" s="70"/>
      <c r="S29" s="77"/>
      <c r="T29" s="78"/>
      <c r="U29" s="21" t="s">
        <v>34</v>
      </c>
    </row>
    <row r="30" spans="1:21" ht="14.25">
      <c r="A30" s="62"/>
      <c r="B30" s="74" t="s">
        <v>57</v>
      </c>
      <c r="C30" s="64">
        <v>5</v>
      </c>
      <c r="D30" s="64">
        <v>10</v>
      </c>
      <c r="E30" s="64">
        <f>E31/(E32-E33)</f>
        <v>7.7373535910286027</v>
      </c>
      <c r="F30" s="64">
        <f>F31/(F32-F33)</f>
        <v>2.9186513043081699</v>
      </c>
      <c r="G30" s="64">
        <f>G31/(G32-G33)</f>
        <v>6.1297583823516568</v>
      </c>
      <c r="H30" s="64">
        <f>H31/(H32-H33)</f>
        <v>5.587260953298026</v>
      </c>
      <c r="I30" s="73">
        <f t="shared" ref="I30" si="4">I31/(I32-I33)</f>
        <v>8.1823330655836237</v>
      </c>
      <c r="J30" s="73">
        <f>J31/(J32-J33)</f>
        <v>5.7122824892886657</v>
      </c>
      <c r="K30" s="64">
        <f>K31/(K32-K33)</f>
        <v>14.372759020803835</v>
      </c>
      <c r="L30" s="64"/>
      <c r="M30" s="67">
        <f>I30/E30*100</f>
        <v>105.75105518081753</v>
      </c>
      <c r="N30" s="67">
        <f>J30/F30*100</f>
        <v>195.71651059709893</v>
      </c>
      <c r="O30" s="67">
        <f>K30/G30*100</f>
        <v>234.47513138829112</v>
      </c>
      <c r="P30" s="67">
        <f>L30/H30*100</f>
        <v>0</v>
      </c>
      <c r="Q30" s="67">
        <f>M30*D30/100</f>
        <v>10.575105518081752</v>
      </c>
      <c r="R30" s="67">
        <f>C30*N30/100</f>
        <v>9.7858255298549466</v>
      </c>
      <c r="S30" s="68">
        <f>O30*C30/100</f>
        <v>11.723756569414556</v>
      </c>
      <c r="T30" s="61">
        <f>C30*P30/100</f>
        <v>0</v>
      </c>
      <c r="U30" s="21"/>
    </row>
    <row r="31" spans="1:21" ht="26.25">
      <c r="A31" s="62"/>
      <c r="B31" s="74" t="s">
        <v>58</v>
      </c>
      <c r="C31" s="64"/>
      <c r="D31" s="64"/>
      <c r="E31" s="70">
        <v>51316280</v>
      </c>
      <c r="F31" s="70">
        <v>51711473</v>
      </c>
      <c r="G31" s="75">
        <v>47723381</v>
      </c>
      <c r="H31" s="70">
        <v>58023705</v>
      </c>
      <c r="I31" s="71">
        <f>J54</f>
        <v>54711931</v>
      </c>
      <c r="J31" s="70">
        <f>K54</f>
        <v>51421470</v>
      </c>
      <c r="K31" s="70">
        <f>L54</f>
        <v>61079181</v>
      </c>
      <c r="L31" s="70"/>
      <c r="M31" s="70"/>
      <c r="N31" s="70"/>
      <c r="O31" s="70"/>
      <c r="P31" s="70"/>
      <c r="Q31" s="70"/>
      <c r="R31" s="70"/>
      <c r="S31" s="77"/>
      <c r="T31" s="78"/>
      <c r="U31" s="21"/>
    </row>
    <row r="32" spans="1:21" ht="26.25">
      <c r="A32" s="62"/>
      <c r="B32" s="74" t="s">
        <v>59</v>
      </c>
      <c r="C32" s="64"/>
      <c r="D32" s="64"/>
      <c r="E32" s="70">
        <v>8347725</v>
      </c>
      <c r="F32" s="70">
        <v>18233039</v>
      </c>
      <c r="G32" s="70">
        <v>7785524</v>
      </c>
      <c r="H32" s="70">
        <v>10385000</v>
      </c>
      <c r="I32" s="71">
        <f>J58</f>
        <v>6686593</v>
      </c>
      <c r="J32" s="70">
        <f>K58</f>
        <v>9001913</v>
      </c>
      <c r="K32" s="70">
        <f>L58</f>
        <v>4249649</v>
      </c>
      <c r="L32" s="70"/>
      <c r="M32" s="70"/>
      <c r="N32" s="70"/>
      <c r="O32" s="70"/>
      <c r="P32" s="70"/>
      <c r="Q32" s="70"/>
      <c r="R32" s="70"/>
      <c r="S32" s="77"/>
      <c r="T32" s="78"/>
      <c r="U32" s="21"/>
    </row>
    <row r="33" spans="1:21" ht="29.25" customHeight="1">
      <c r="A33" s="62"/>
      <c r="B33" s="74" t="s">
        <v>60</v>
      </c>
      <c r="C33" s="64"/>
      <c r="D33" s="64"/>
      <c r="E33" s="70">
        <v>1715447</v>
      </c>
      <c r="F33" s="70">
        <v>515447</v>
      </c>
      <c r="G33" s="70">
        <v>0</v>
      </c>
      <c r="H33" s="70">
        <v>0</v>
      </c>
      <c r="I33" s="71">
        <f>J57</f>
        <v>0</v>
      </c>
      <c r="J33" s="70"/>
      <c r="K33" s="70"/>
      <c r="L33" s="70"/>
      <c r="M33" s="70"/>
      <c r="N33" s="70"/>
      <c r="O33" s="70"/>
      <c r="P33" s="70"/>
      <c r="Q33" s="70"/>
      <c r="R33" s="70"/>
      <c r="S33" s="77"/>
      <c r="T33" s="78"/>
      <c r="U33" s="21"/>
    </row>
    <row r="34" spans="1:21" ht="26.25">
      <c r="A34" s="91" t="s">
        <v>61</v>
      </c>
      <c r="B34" s="90" t="s">
        <v>62</v>
      </c>
      <c r="C34" s="64"/>
      <c r="D34" s="64"/>
      <c r="E34" s="70"/>
      <c r="F34" s="70"/>
      <c r="G34" s="70"/>
      <c r="H34" s="70"/>
      <c r="I34" s="71"/>
      <c r="J34" s="70"/>
      <c r="K34" s="70"/>
      <c r="L34" s="70"/>
      <c r="M34" s="70"/>
      <c r="N34" s="70"/>
      <c r="O34" s="70"/>
      <c r="P34" s="70"/>
      <c r="Q34" s="70"/>
      <c r="R34" s="70"/>
      <c r="S34" s="77"/>
      <c r="T34" s="78"/>
      <c r="U34" s="21" t="s">
        <v>34</v>
      </c>
    </row>
    <row r="35" spans="1:21" ht="14.25">
      <c r="A35" s="62"/>
      <c r="B35" s="92" t="s">
        <v>63</v>
      </c>
      <c r="C35" s="64">
        <v>5</v>
      </c>
      <c r="D35" s="64">
        <v>10</v>
      </c>
      <c r="E35" s="64">
        <f>E36/(E37-E38)</f>
        <v>8.5891365194136373</v>
      </c>
      <c r="F35" s="64">
        <f>F36/(F37-F38)</f>
        <v>3.1517915362326598</v>
      </c>
      <c r="G35" s="64">
        <f>G36/(G37-G38)</f>
        <v>8.2710881117314639</v>
      </c>
      <c r="H35" s="64">
        <f>H36/(H37-H38)</f>
        <v>7.0345842079922969</v>
      </c>
      <c r="I35" s="73">
        <f t="shared" ref="I35:K35" si="5">I36/((I37-I38))</f>
        <v>10.941048004566751</v>
      </c>
      <c r="J35" s="73">
        <f t="shared" si="5"/>
        <v>7.4601630786700559</v>
      </c>
      <c r="K35" s="64">
        <f t="shared" si="5"/>
        <v>19.330052199605191</v>
      </c>
      <c r="L35" s="64"/>
      <c r="M35" s="67">
        <f>I35/E35*100</f>
        <v>127.3823972856549</v>
      </c>
      <c r="N35" s="67">
        <f>J35/F35*100</f>
        <v>236.69595507535365</v>
      </c>
      <c r="O35" s="67">
        <f>K35/G35*100</f>
        <v>233.70627828505448</v>
      </c>
      <c r="P35" s="67">
        <f>L35/H35*100</f>
        <v>0</v>
      </c>
      <c r="Q35" s="67">
        <f>M35*D35/100</f>
        <v>12.738239728565491</v>
      </c>
      <c r="R35" s="67">
        <f>C35*N35/100</f>
        <v>11.834797753767681</v>
      </c>
      <c r="S35" s="68">
        <f>O35*C35/100</f>
        <v>11.685313914252724</v>
      </c>
      <c r="T35" s="61">
        <f>C35*P35/100</f>
        <v>0</v>
      </c>
      <c r="U35" s="21"/>
    </row>
    <row r="36" spans="1:21" ht="30.75" customHeight="1">
      <c r="A36" s="62"/>
      <c r="B36" s="74" t="s">
        <v>64</v>
      </c>
      <c r="C36" s="64"/>
      <c r="D36" s="64"/>
      <c r="E36" s="70">
        <v>67272505</v>
      </c>
      <c r="F36" s="70">
        <v>57466738</v>
      </c>
      <c r="G36" s="75">
        <v>64394755</v>
      </c>
      <c r="H36" s="70">
        <v>73054157</v>
      </c>
      <c r="I36" s="76">
        <f>J56</f>
        <v>73158335</v>
      </c>
      <c r="J36" s="75">
        <f>K56</f>
        <v>67155739</v>
      </c>
      <c r="K36" s="75">
        <f>L56</f>
        <v>82145937</v>
      </c>
      <c r="L36" s="75"/>
      <c r="M36" s="70"/>
      <c r="N36" s="70"/>
      <c r="O36" s="70"/>
      <c r="P36" s="70"/>
      <c r="Q36" s="70"/>
      <c r="R36" s="70"/>
      <c r="S36" s="77"/>
      <c r="T36" s="78"/>
      <c r="U36" s="21"/>
    </row>
    <row r="37" spans="1:21" ht="26.25">
      <c r="A37" s="62"/>
      <c r="B37" s="74" t="s">
        <v>59</v>
      </c>
      <c r="C37" s="64"/>
      <c r="D37" s="64"/>
      <c r="E37" s="70">
        <v>8347725</v>
      </c>
      <c r="F37" s="70">
        <v>18233039</v>
      </c>
      <c r="G37" s="75">
        <v>7785524</v>
      </c>
      <c r="H37" s="70">
        <v>10385000</v>
      </c>
      <c r="I37" s="76">
        <f>J58</f>
        <v>6686593</v>
      </c>
      <c r="J37" s="75">
        <f>K58</f>
        <v>9001913</v>
      </c>
      <c r="K37" s="75">
        <f>L58</f>
        <v>4249649</v>
      </c>
      <c r="L37" s="75"/>
      <c r="M37" s="70"/>
      <c r="N37" s="70"/>
      <c r="O37" s="70"/>
      <c r="P37" s="70"/>
      <c r="Q37" s="70"/>
      <c r="R37" s="70"/>
      <c r="S37" s="77"/>
      <c r="T37" s="78"/>
      <c r="U37" s="21"/>
    </row>
    <row r="38" spans="1:21" ht="25.5">
      <c r="A38" s="62"/>
      <c r="B38" s="79" t="s">
        <v>65</v>
      </c>
      <c r="C38" s="64"/>
      <c r="D38" s="64"/>
      <c r="E38" s="70">
        <v>515447</v>
      </c>
      <c r="F38" s="70">
        <v>0</v>
      </c>
      <c r="G38" s="75">
        <v>0</v>
      </c>
      <c r="H38" s="70">
        <v>0</v>
      </c>
      <c r="I38" s="76">
        <f>J57</f>
        <v>0</v>
      </c>
      <c r="J38" s="75"/>
      <c r="K38" s="75">
        <v>0</v>
      </c>
      <c r="L38" s="75"/>
      <c r="M38" s="70"/>
      <c r="N38" s="70"/>
      <c r="O38" s="70"/>
      <c r="P38" s="70"/>
      <c r="Q38" s="70"/>
      <c r="R38" s="70"/>
      <c r="S38" s="77"/>
      <c r="T38" s="78"/>
      <c r="U38" s="21"/>
    </row>
    <row r="39" spans="1:21" ht="24.75" customHeight="1">
      <c r="A39" s="62" t="s">
        <v>66</v>
      </c>
      <c r="B39" s="74" t="s">
        <v>67</v>
      </c>
      <c r="C39" s="64">
        <v>10</v>
      </c>
      <c r="D39" s="64">
        <v>0</v>
      </c>
      <c r="E39" s="64">
        <v>0</v>
      </c>
      <c r="F39" s="64">
        <v>14568864</v>
      </c>
      <c r="G39" s="64">
        <v>14568864</v>
      </c>
      <c r="H39" s="64">
        <v>14568864</v>
      </c>
      <c r="I39" s="66">
        <v>0</v>
      </c>
      <c r="J39" s="65">
        <v>14568864</v>
      </c>
      <c r="K39" s="65">
        <v>14568864</v>
      </c>
      <c r="L39" s="65"/>
      <c r="M39" s="70">
        <v>0</v>
      </c>
      <c r="N39" s="67">
        <f t="shared" ref="N39:P40" si="6">J39/F39*100</f>
        <v>100</v>
      </c>
      <c r="O39" s="67">
        <f t="shared" si="6"/>
        <v>100</v>
      </c>
      <c r="P39" s="67">
        <f t="shared" si="6"/>
        <v>0</v>
      </c>
      <c r="Q39" s="67">
        <f>C39*M39/100</f>
        <v>0</v>
      </c>
      <c r="R39" s="67">
        <f>C39*N39/100</f>
        <v>10</v>
      </c>
      <c r="S39" s="68">
        <f>O39*C39/100</f>
        <v>10</v>
      </c>
      <c r="T39" s="61">
        <f>C39*P39/100</f>
        <v>0</v>
      </c>
      <c r="U39" s="21" t="s">
        <v>34</v>
      </c>
    </row>
    <row r="40" spans="1:21" ht="25.5">
      <c r="A40" s="93" t="s">
        <v>68</v>
      </c>
      <c r="B40" s="94" t="s">
        <v>69</v>
      </c>
      <c r="C40" s="64">
        <v>10</v>
      </c>
      <c r="D40" s="64">
        <v>0</v>
      </c>
      <c r="E40" s="95">
        <f>(3350-3350)/3350</f>
        <v>0</v>
      </c>
      <c r="F40" s="95">
        <f>(3350-3350+2550)/3350</f>
        <v>0.76119402985074625</v>
      </c>
      <c r="G40" s="95">
        <f t="shared" ref="G40:H40" si="7">(3350-3350+2550)/3350</f>
        <v>0.76119402985074625</v>
      </c>
      <c r="H40" s="95">
        <f t="shared" si="7"/>
        <v>0.76119402985074625</v>
      </c>
      <c r="I40" s="96">
        <v>0</v>
      </c>
      <c r="J40" s="95">
        <f>(3350-3350+2550)/3350</f>
        <v>0.76119402985074625</v>
      </c>
      <c r="K40" s="95">
        <f>(3350-3350+2550)/3350</f>
        <v>0.76119402985074625</v>
      </c>
      <c r="L40" s="95"/>
      <c r="M40" s="67">
        <v>0</v>
      </c>
      <c r="N40" s="67">
        <f t="shared" si="6"/>
        <v>100</v>
      </c>
      <c r="O40" s="67">
        <f t="shared" si="6"/>
        <v>100</v>
      </c>
      <c r="P40" s="67">
        <f t="shared" si="6"/>
        <v>0</v>
      </c>
      <c r="Q40" s="67">
        <f>C40*M40/100</f>
        <v>0</v>
      </c>
      <c r="R40" s="67">
        <f>C40*N40/100</f>
        <v>10</v>
      </c>
      <c r="S40" s="68">
        <f>O40*C40/100</f>
        <v>10</v>
      </c>
      <c r="T40" s="61">
        <f>C40*P40/100</f>
        <v>0</v>
      </c>
      <c r="U40" s="21" t="s">
        <v>34</v>
      </c>
    </row>
    <row r="41" spans="1:21" ht="64.5">
      <c r="A41" s="62"/>
      <c r="B41" s="74" t="s">
        <v>70</v>
      </c>
      <c r="C41" s="64"/>
      <c r="D41" s="64"/>
      <c r="E41" s="70"/>
      <c r="F41" s="70"/>
      <c r="G41" s="70"/>
      <c r="H41" s="70"/>
      <c r="I41" s="71"/>
      <c r="J41" s="70"/>
      <c r="K41" s="70"/>
      <c r="L41" s="70"/>
      <c r="M41" s="70"/>
      <c r="N41" s="70"/>
      <c r="O41" s="70"/>
      <c r="P41" s="70"/>
      <c r="Q41" s="70"/>
      <c r="R41" s="70"/>
      <c r="S41" s="77"/>
      <c r="T41" s="78"/>
      <c r="U41" s="21"/>
    </row>
    <row r="42" spans="1:21" ht="15">
      <c r="A42" s="62"/>
      <c r="B42" s="92" t="s">
        <v>71</v>
      </c>
      <c r="C42" s="64"/>
      <c r="D42" s="64"/>
      <c r="E42" s="70">
        <v>3350</v>
      </c>
      <c r="F42" s="70">
        <v>3350</v>
      </c>
      <c r="G42" s="70">
        <v>3350</v>
      </c>
      <c r="H42" s="70">
        <v>3350</v>
      </c>
      <c r="I42" s="71">
        <v>3350</v>
      </c>
      <c r="J42" s="70">
        <v>3350</v>
      </c>
      <c r="K42" s="70">
        <v>3350</v>
      </c>
      <c r="L42" s="70"/>
      <c r="M42" s="70"/>
      <c r="N42" s="70"/>
      <c r="O42" s="70"/>
      <c r="P42" s="70"/>
      <c r="Q42" s="70"/>
      <c r="R42" s="70"/>
      <c r="S42" s="77"/>
      <c r="T42" s="78"/>
      <c r="U42" s="21"/>
    </row>
    <row r="43" spans="1:21" ht="15">
      <c r="A43" s="62"/>
      <c r="B43" s="92" t="s">
        <v>72</v>
      </c>
      <c r="C43" s="64"/>
      <c r="D43" s="64"/>
      <c r="E43" s="70">
        <v>3350</v>
      </c>
      <c r="F43" s="70">
        <v>3350</v>
      </c>
      <c r="G43" s="70">
        <v>3350</v>
      </c>
      <c r="H43" s="70">
        <v>3350</v>
      </c>
      <c r="I43" s="71">
        <v>3350</v>
      </c>
      <c r="J43" s="70">
        <v>3350</v>
      </c>
      <c r="K43" s="70">
        <v>3350</v>
      </c>
      <c r="L43" s="70"/>
      <c r="M43" s="70"/>
      <c r="N43" s="70"/>
      <c r="O43" s="70"/>
      <c r="P43" s="70"/>
      <c r="Q43" s="70"/>
      <c r="R43" s="70"/>
      <c r="S43" s="77"/>
      <c r="T43" s="78"/>
      <c r="U43" s="21"/>
    </row>
    <row r="44" spans="1:21" ht="15">
      <c r="A44" s="62"/>
      <c r="B44" s="92" t="s">
        <v>73</v>
      </c>
      <c r="C44" s="64"/>
      <c r="D44" s="64"/>
      <c r="E44" s="70">
        <v>0</v>
      </c>
      <c r="F44" s="64">
        <v>2550</v>
      </c>
      <c r="G44" s="70">
        <v>2550</v>
      </c>
      <c r="H44" s="64">
        <v>2550</v>
      </c>
      <c r="I44" s="71">
        <v>0</v>
      </c>
      <c r="J44" s="70">
        <v>2550</v>
      </c>
      <c r="K44" s="70">
        <v>2550</v>
      </c>
      <c r="L44" s="70"/>
      <c r="M44" s="70"/>
      <c r="N44" s="70"/>
      <c r="O44" s="70"/>
      <c r="P44" s="70"/>
      <c r="Q44" s="70"/>
      <c r="R44" s="70"/>
      <c r="S44" s="77"/>
      <c r="T44" s="78"/>
      <c r="U44" s="21"/>
    </row>
    <row r="45" spans="1:21" ht="15.75" thickBot="1">
      <c r="A45" s="97"/>
      <c r="B45" s="98"/>
      <c r="C45" s="99">
        <f>SUM(C14:C44)</f>
        <v>100</v>
      </c>
      <c r="D45" s="99">
        <f>SUM(D14:D44)</f>
        <v>100</v>
      </c>
      <c r="E45" s="100"/>
      <c r="F45" s="100"/>
      <c r="G45" s="100"/>
      <c r="H45" s="100"/>
      <c r="I45" s="101"/>
      <c r="J45" s="100"/>
      <c r="K45" s="100"/>
      <c r="L45" s="100"/>
      <c r="M45" s="100"/>
      <c r="N45" s="100"/>
      <c r="O45" s="100"/>
      <c r="P45" s="100"/>
      <c r="Q45" s="99">
        <f>SUM(Q14:Q44)</f>
        <v>131.17899021285729</v>
      </c>
      <c r="R45" s="99">
        <f>SUM(R14:R44)</f>
        <v>124.61193377701983</v>
      </c>
      <c r="S45" s="102">
        <f>SUM(S14:S44)</f>
        <v>135.20078214416696</v>
      </c>
      <c r="T45" s="103" t="e">
        <f>SUM(T14:T44)</f>
        <v>#DIV/0!</v>
      </c>
      <c r="U45" s="21"/>
    </row>
    <row r="46" spans="1:21">
      <c r="A46" s="104"/>
      <c r="B46" s="104"/>
      <c r="C46" s="105"/>
      <c r="D46" s="105"/>
      <c r="E46" s="106"/>
      <c r="F46" s="106"/>
      <c r="G46" s="106"/>
      <c r="H46" s="106"/>
    </row>
    <row r="47" spans="1:21" ht="15">
      <c r="A47" s="104"/>
      <c r="B47" s="1"/>
      <c r="C47" s="2"/>
      <c r="D47" s="2"/>
      <c r="E47" s="107"/>
      <c r="F47" s="106"/>
      <c r="G47" s="106"/>
      <c r="H47" s="106"/>
    </row>
    <row r="48" spans="1:21" ht="21.75" customHeight="1">
      <c r="A48" s="104"/>
      <c r="B48" s="108" t="s">
        <v>74</v>
      </c>
      <c r="C48" s="108"/>
      <c r="D48" s="9" t="s">
        <v>75</v>
      </c>
      <c r="E48" s="9"/>
      <c r="F48" s="9"/>
      <c r="G48" s="9"/>
      <c r="H48" s="9"/>
      <c r="I48" s="9"/>
      <c r="J48" s="9"/>
      <c r="K48" s="9"/>
    </row>
    <row r="49" spans="1:27" ht="15">
      <c r="A49" s="104"/>
      <c r="B49" s="1"/>
      <c r="C49" s="2"/>
      <c r="D49" s="2"/>
      <c r="E49" s="107"/>
      <c r="F49" s="107"/>
      <c r="G49" s="107"/>
      <c r="H49" s="107"/>
      <c r="I49" s="7"/>
      <c r="J49" s="7"/>
      <c r="K49" s="7"/>
    </row>
    <row r="50" spans="1:27" ht="15.75">
      <c r="A50" s="104"/>
      <c r="B50" s="1" t="s">
        <v>76</v>
      </c>
      <c r="C50" s="2"/>
      <c r="D50" s="109" t="s">
        <v>77</v>
      </c>
      <c r="E50" s="109"/>
      <c r="F50" s="109"/>
      <c r="G50" s="109"/>
      <c r="H50" s="109"/>
      <c r="I50" s="109"/>
      <c r="J50" s="109"/>
      <c r="K50" s="109"/>
      <c r="L50" s="110"/>
      <c r="M50" s="110"/>
      <c r="N50" s="110"/>
      <c r="O50" s="110"/>
    </row>
    <row r="51" spans="1:27">
      <c r="A51" s="104"/>
      <c r="B51" s="104"/>
      <c r="C51" s="105"/>
      <c r="D51" s="105"/>
      <c r="E51" s="104"/>
      <c r="F51" s="104"/>
      <c r="G51" s="104"/>
    </row>
    <row r="53" spans="1:27">
      <c r="D53" s="111"/>
      <c r="E53" s="111"/>
      <c r="F53" s="111"/>
      <c r="G53" s="111"/>
      <c r="H53" s="111"/>
      <c r="I53" s="112" t="s">
        <v>78</v>
      </c>
      <c r="J53" s="112" t="s">
        <v>79</v>
      </c>
      <c r="K53" s="112" t="s">
        <v>80</v>
      </c>
      <c r="L53" s="113" t="s">
        <v>81</v>
      </c>
      <c r="M53" s="112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</row>
    <row r="54" spans="1:27">
      <c r="D54" s="111"/>
      <c r="E54" s="111"/>
      <c r="F54" s="111"/>
      <c r="G54" s="111"/>
      <c r="H54" s="114" t="s">
        <v>82</v>
      </c>
      <c r="I54" s="112">
        <v>53647652</v>
      </c>
      <c r="J54" s="112">
        <v>54711931</v>
      </c>
      <c r="K54" s="112">
        <v>51421470</v>
      </c>
      <c r="L54" s="115">
        <v>61079181</v>
      </c>
      <c r="M54" s="112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</row>
    <row r="55" spans="1:27">
      <c r="D55" s="111"/>
      <c r="E55" s="111"/>
      <c r="F55" s="111"/>
      <c r="G55" s="111"/>
      <c r="H55" s="111" t="s">
        <v>83</v>
      </c>
      <c r="I55" s="112">
        <v>79299588</v>
      </c>
      <c r="J55" s="112">
        <v>79844928</v>
      </c>
      <c r="K55" s="112">
        <v>76157652</v>
      </c>
      <c r="L55" s="115">
        <v>86395586</v>
      </c>
      <c r="M55" s="112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</row>
    <row r="56" spans="1:27">
      <c r="D56" s="111"/>
      <c r="E56" s="111"/>
      <c r="F56" s="111"/>
      <c r="G56" s="111"/>
      <c r="H56" s="111" t="s">
        <v>84</v>
      </c>
      <c r="I56" s="112">
        <v>64212316</v>
      </c>
      <c r="J56" s="112">
        <v>73158335</v>
      </c>
      <c r="K56" s="112">
        <v>67155739</v>
      </c>
      <c r="L56" s="115">
        <v>82145937</v>
      </c>
      <c r="M56" s="112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</row>
    <row r="57" spans="1:27">
      <c r="D57" s="111"/>
      <c r="E57" s="111"/>
      <c r="F57" s="111"/>
      <c r="G57" s="111"/>
      <c r="H57" s="111" t="s">
        <v>85</v>
      </c>
      <c r="I57" s="112">
        <v>1715447</v>
      </c>
      <c r="J57" s="112">
        <v>0</v>
      </c>
      <c r="K57" s="112">
        <v>0</v>
      </c>
      <c r="L57" s="115">
        <v>0</v>
      </c>
      <c r="M57" s="112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</row>
    <row r="58" spans="1:27">
      <c r="D58" s="111"/>
      <c r="E58" s="111"/>
      <c r="F58" s="111"/>
      <c r="G58" s="111"/>
      <c r="H58" s="111" t="s">
        <v>86</v>
      </c>
      <c r="I58" s="112">
        <v>15087272</v>
      </c>
      <c r="J58" s="112">
        <v>6686593</v>
      </c>
      <c r="K58" s="112">
        <v>9001913</v>
      </c>
      <c r="L58" s="115">
        <v>4249649</v>
      </c>
      <c r="M58" s="112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</row>
    <row r="59" spans="1:27">
      <c r="D59" s="111"/>
      <c r="E59" s="111"/>
      <c r="F59" s="111"/>
      <c r="G59" s="111"/>
      <c r="H59" s="111"/>
      <c r="I59" s="112"/>
      <c r="J59" s="112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</row>
    <row r="60" spans="1:27"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1"/>
    </row>
    <row r="61" spans="1:27"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</row>
    <row r="62" spans="1:27">
      <c r="D62" s="111"/>
      <c r="E62" s="111"/>
      <c r="F62" s="111"/>
      <c r="G62" s="111"/>
      <c r="H62" s="111"/>
      <c r="I62" s="112"/>
      <c r="J62" s="112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</row>
    <row r="63" spans="1:27">
      <c r="D63" s="111"/>
      <c r="E63" s="111"/>
      <c r="F63" s="111"/>
      <c r="G63" s="111"/>
      <c r="H63" s="114"/>
      <c r="I63" s="112"/>
      <c r="J63" s="112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</row>
    <row r="64" spans="1:27">
      <c r="D64" s="111"/>
      <c r="E64" s="111"/>
      <c r="F64" s="111"/>
      <c r="G64" s="111"/>
      <c r="H64" s="111"/>
      <c r="I64" s="112"/>
      <c r="J64" s="112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</row>
    <row r="65" spans="9:10">
      <c r="I65" s="116"/>
      <c r="J65" s="116"/>
    </row>
    <row r="66" spans="9:10">
      <c r="I66" s="116"/>
      <c r="J66" s="116"/>
    </row>
    <row r="67" spans="9:10">
      <c r="I67" s="116"/>
      <c r="J67" s="116"/>
    </row>
  </sheetData>
  <mergeCells count="19">
    <mergeCell ref="B48:C48"/>
    <mergeCell ref="D48:K48"/>
    <mergeCell ref="D50:K50"/>
    <mergeCell ref="A10:A12"/>
    <mergeCell ref="B10:B12"/>
    <mergeCell ref="C10:C12"/>
    <mergeCell ref="D10:D12"/>
    <mergeCell ref="G10:S10"/>
    <mergeCell ref="G11:G12"/>
    <mergeCell ref="K11:K12"/>
    <mergeCell ref="O11:Q12"/>
    <mergeCell ref="R11:R12"/>
    <mergeCell ref="S11:S12"/>
    <mergeCell ref="F1:S1"/>
    <mergeCell ref="F2:S2"/>
    <mergeCell ref="F3:S3"/>
    <mergeCell ref="A6:H6"/>
    <mergeCell ref="A7:S7"/>
    <mergeCell ref="A8:S8"/>
  </mergeCells>
  <pageMargins left="0.74803149606299213" right="0.27559055118110237" top="0.74803149606299213" bottom="0.61" header="0.31496062992125984" footer="0.31496062992125984"/>
  <pageSetup paperSize="9"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106"/>
  <sheetViews>
    <sheetView tabSelected="1" workbookViewId="0">
      <selection activeCell="Y37" sqref="Y37"/>
    </sheetView>
  </sheetViews>
  <sheetFormatPr defaultRowHeight="12.75"/>
  <cols>
    <col min="1" max="1" width="6.140625" customWidth="1"/>
    <col min="2" max="2" width="36.5703125" customWidth="1"/>
    <col min="3" max="3" width="10" customWidth="1"/>
    <col min="4" max="4" width="7.7109375" hidden="1" customWidth="1"/>
    <col min="5" max="5" width="12.7109375" hidden="1" customWidth="1"/>
    <col min="6" max="6" width="14.28515625" hidden="1" customWidth="1"/>
    <col min="7" max="7" width="14" customWidth="1"/>
    <col min="8" max="8" width="12.28515625" hidden="1" customWidth="1"/>
    <col min="9" max="9" width="11.28515625" hidden="1" customWidth="1"/>
    <col min="10" max="10" width="11.85546875" hidden="1" customWidth="1"/>
    <col min="11" max="11" width="12.85546875" customWidth="1"/>
    <col min="12" max="12" width="11.5703125" hidden="1" customWidth="1"/>
    <col min="13" max="13" width="12.85546875" hidden="1" customWidth="1"/>
    <col min="14" max="14" width="11.7109375" hidden="1" customWidth="1"/>
    <col min="15" max="15" width="10.85546875" customWidth="1"/>
    <col min="16" max="18" width="0" hidden="1" customWidth="1"/>
    <col min="19" max="19" width="10" customWidth="1"/>
    <col min="20" max="20" width="7.42578125" hidden="1" customWidth="1"/>
  </cols>
  <sheetData>
    <row r="1" spans="1:21" ht="15.75">
      <c r="A1" s="117" t="s">
        <v>0</v>
      </c>
      <c r="B1" s="117"/>
      <c r="C1" s="105"/>
      <c r="D1" s="105"/>
      <c r="E1" s="104"/>
      <c r="F1" s="118" t="s">
        <v>1</v>
      </c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</row>
    <row r="2" spans="1:21" ht="15.75">
      <c r="A2" s="119" t="s">
        <v>2</v>
      </c>
      <c r="B2" s="119"/>
      <c r="C2" s="105"/>
      <c r="D2" s="105"/>
      <c r="E2" s="104"/>
      <c r="F2" s="120" t="s">
        <v>3</v>
      </c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</row>
    <row r="3" spans="1:21" ht="15.75">
      <c r="A3" s="119" t="s">
        <v>4</v>
      </c>
      <c r="B3" s="119"/>
      <c r="C3" s="105"/>
      <c r="D3" s="105"/>
      <c r="E3" s="104"/>
      <c r="F3" s="120" t="s">
        <v>5</v>
      </c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</row>
    <row r="4" spans="1:21" ht="15.75">
      <c r="A4" s="119"/>
      <c r="B4" s="119"/>
      <c r="C4" s="105"/>
      <c r="D4" s="105"/>
      <c r="E4" s="104"/>
      <c r="F4" s="121" t="s">
        <v>6</v>
      </c>
      <c r="G4" s="121" t="s">
        <v>7</v>
      </c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</row>
    <row r="5" spans="1:21" ht="15.75">
      <c r="A5" s="119"/>
      <c r="B5" s="119"/>
      <c r="C5" s="105" t="s">
        <v>8</v>
      </c>
      <c r="D5" s="105"/>
      <c r="E5" s="104"/>
      <c r="F5" s="121" t="s">
        <v>9</v>
      </c>
      <c r="G5" s="121" t="s">
        <v>10</v>
      </c>
      <c r="H5" s="121"/>
    </row>
    <row r="6" spans="1:21" ht="15">
      <c r="A6" s="8"/>
      <c r="B6" s="8"/>
      <c r="C6" s="8"/>
      <c r="D6" s="8"/>
      <c r="E6" s="8"/>
      <c r="F6" s="8"/>
      <c r="G6" s="8"/>
      <c r="H6" s="8"/>
    </row>
    <row r="7" spans="1:21" ht="14.25">
      <c r="A7" s="4" t="s">
        <v>11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21" ht="32.25" customHeight="1">
      <c r="A8" s="9" t="s">
        <v>87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21" ht="15" thickBot="1">
      <c r="A9" s="10"/>
      <c r="B9" s="10"/>
      <c r="C9" s="11"/>
      <c r="D9" s="11"/>
      <c r="E9" s="10"/>
      <c r="F9" s="10"/>
      <c r="G9" s="10"/>
      <c r="H9" s="10"/>
    </row>
    <row r="10" spans="1:21">
      <c r="A10" s="122" t="s">
        <v>14</v>
      </c>
      <c r="B10" s="123" t="s">
        <v>15</v>
      </c>
      <c r="C10" s="124" t="s">
        <v>16</v>
      </c>
      <c r="D10" s="124" t="s">
        <v>88</v>
      </c>
      <c r="E10" s="125" t="s">
        <v>89</v>
      </c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7"/>
      <c r="U10" s="128"/>
    </row>
    <row r="11" spans="1:21">
      <c r="A11" s="129"/>
      <c r="B11" s="130"/>
      <c r="C11" s="131"/>
      <c r="D11" s="131"/>
      <c r="E11" s="132"/>
      <c r="F11" s="133"/>
      <c r="G11" s="131" t="s">
        <v>20</v>
      </c>
      <c r="H11" s="134"/>
      <c r="I11" s="134" t="s">
        <v>19</v>
      </c>
      <c r="J11" s="134"/>
      <c r="K11" s="131" t="s">
        <v>21</v>
      </c>
      <c r="L11" s="134"/>
      <c r="M11" s="135"/>
      <c r="N11" s="136"/>
      <c r="O11" s="137" t="s">
        <v>22</v>
      </c>
      <c r="P11" s="138"/>
      <c r="Q11" s="139"/>
      <c r="R11" s="131" t="s">
        <v>23</v>
      </c>
      <c r="S11" s="140" t="s">
        <v>24</v>
      </c>
      <c r="T11" s="141"/>
      <c r="U11" s="128"/>
    </row>
    <row r="12" spans="1:21" ht="26.25" thickBot="1">
      <c r="A12" s="142"/>
      <c r="B12" s="143"/>
      <c r="C12" s="144"/>
      <c r="D12" s="144"/>
      <c r="E12" s="145"/>
      <c r="F12" s="145"/>
      <c r="G12" s="146"/>
      <c r="H12" s="147" t="s">
        <v>27</v>
      </c>
      <c r="I12" s="148" t="s">
        <v>25</v>
      </c>
      <c r="J12" s="148" t="s">
        <v>26</v>
      </c>
      <c r="K12" s="146"/>
      <c r="L12" s="147" t="s">
        <v>27</v>
      </c>
      <c r="M12" s="149"/>
      <c r="N12" s="150"/>
      <c r="O12" s="151"/>
      <c r="P12" s="152"/>
      <c r="Q12" s="153"/>
      <c r="R12" s="144"/>
      <c r="S12" s="154"/>
      <c r="T12" s="155"/>
      <c r="U12" s="128"/>
    </row>
    <row r="13" spans="1:21" ht="13.5" thickBot="1">
      <c r="A13" s="156"/>
      <c r="B13" s="157"/>
      <c r="C13" s="158" t="s">
        <v>28</v>
      </c>
      <c r="D13" s="158"/>
      <c r="E13" s="50" t="s">
        <v>29</v>
      </c>
      <c r="F13" s="50" t="s">
        <v>29</v>
      </c>
      <c r="G13" s="50" t="s">
        <v>29</v>
      </c>
      <c r="H13" s="159" t="s">
        <v>29</v>
      </c>
      <c r="I13" s="160" t="s">
        <v>30</v>
      </c>
      <c r="J13" s="50" t="s">
        <v>30</v>
      </c>
      <c r="K13" s="50" t="s">
        <v>30</v>
      </c>
      <c r="L13" s="159" t="s">
        <v>30</v>
      </c>
      <c r="M13" s="161" t="s">
        <v>31</v>
      </c>
      <c r="N13" s="162" t="s">
        <v>31</v>
      </c>
      <c r="O13" s="162" t="s">
        <v>31</v>
      </c>
      <c r="P13" s="163" t="s">
        <v>31</v>
      </c>
      <c r="Q13" s="161"/>
      <c r="R13" s="162"/>
      <c r="S13" s="163"/>
      <c r="T13" s="164"/>
      <c r="U13" s="128"/>
    </row>
    <row r="14" spans="1:21" ht="26.25" customHeight="1">
      <c r="A14" s="54" t="s">
        <v>32</v>
      </c>
      <c r="B14" s="165" t="s">
        <v>90</v>
      </c>
      <c r="C14" s="56">
        <v>10</v>
      </c>
      <c r="D14" s="166">
        <v>10</v>
      </c>
      <c r="E14" s="167">
        <f>E23</f>
        <v>6527040</v>
      </c>
      <c r="F14" s="167">
        <f>F23</f>
        <v>13352051</v>
      </c>
      <c r="G14" s="57">
        <f>G23</f>
        <v>21800157</v>
      </c>
      <c r="H14" s="57">
        <f>H23</f>
        <v>31599219</v>
      </c>
      <c r="I14" s="57">
        <f t="shared" ref="I14:J14" si="0">I23</f>
        <v>11123072</v>
      </c>
      <c r="J14" s="57">
        <f t="shared" si="0"/>
        <v>22009692</v>
      </c>
      <c r="K14" s="57">
        <f>K23</f>
        <v>40706983</v>
      </c>
      <c r="L14" s="57"/>
      <c r="M14" s="59">
        <f>I14/E14*100</f>
        <v>170.41525714565867</v>
      </c>
      <c r="N14" s="59">
        <f>J14/F14*100</f>
        <v>164.84128168773472</v>
      </c>
      <c r="O14" s="59">
        <f>K14/G14*100</f>
        <v>186.72793503276145</v>
      </c>
      <c r="P14" s="59">
        <f>L14/H14*100</f>
        <v>0</v>
      </c>
      <c r="Q14" s="59">
        <f>C14*M14/100</f>
        <v>17.041525714565868</v>
      </c>
      <c r="R14" s="59">
        <f>C14*N14/100</f>
        <v>16.484128168773474</v>
      </c>
      <c r="S14" s="59">
        <f>O14*C14/100</f>
        <v>18.672793503276147</v>
      </c>
      <c r="T14" s="168">
        <f>C14*P14/100</f>
        <v>0</v>
      </c>
      <c r="U14" s="169" t="s">
        <v>34</v>
      </c>
    </row>
    <row r="15" spans="1:21" ht="15">
      <c r="A15" s="170"/>
      <c r="B15" s="92"/>
      <c r="C15" s="64"/>
      <c r="D15" s="171"/>
      <c r="E15" s="172"/>
      <c r="F15" s="172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173"/>
      <c r="U15" s="128"/>
    </row>
    <row r="16" spans="1:21" ht="15">
      <c r="A16" s="170"/>
      <c r="B16" s="92" t="s">
        <v>91</v>
      </c>
      <c r="C16" s="64"/>
      <c r="D16" s="171"/>
      <c r="E16" s="174">
        <v>4651176</v>
      </c>
      <c r="F16" s="174">
        <f>E16+5337332</f>
        <v>9988508</v>
      </c>
      <c r="G16" s="75">
        <f>F16+7215134</f>
        <v>17203642</v>
      </c>
      <c r="H16" s="65">
        <f>G16+8659402</f>
        <v>25863044</v>
      </c>
      <c r="I16" s="75">
        <v>8966464</v>
      </c>
      <c r="J16" s="75">
        <v>18041042</v>
      </c>
      <c r="K16" s="75">
        <v>33475655</v>
      </c>
      <c r="L16" s="65"/>
      <c r="M16" s="70"/>
      <c r="N16" s="70"/>
      <c r="O16" s="70"/>
      <c r="P16" s="70"/>
      <c r="Q16" s="70"/>
      <c r="R16" s="70"/>
      <c r="S16" s="70"/>
      <c r="T16" s="175"/>
      <c r="U16" s="128"/>
    </row>
    <row r="17" spans="1:21" ht="15">
      <c r="A17" s="170"/>
      <c r="B17" s="92" t="s">
        <v>92</v>
      </c>
      <c r="C17" s="64"/>
      <c r="D17" s="171"/>
      <c r="E17" s="172">
        <v>673723</v>
      </c>
      <c r="F17" s="172">
        <f>E17+766036</f>
        <v>1439759</v>
      </c>
      <c r="G17" s="75">
        <f>F17+1025600</f>
        <v>2465359</v>
      </c>
      <c r="H17" s="75">
        <f>G17+1017800</f>
        <v>3483159</v>
      </c>
      <c r="I17" s="75">
        <v>1607896</v>
      </c>
      <c r="J17" s="75">
        <v>3264769</v>
      </c>
      <c r="K17" s="75">
        <v>6248865</v>
      </c>
      <c r="L17" s="65"/>
      <c r="M17" s="64"/>
      <c r="N17" s="64"/>
      <c r="O17" s="64"/>
      <c r="P17" s="64"/>
      <c r="Q17" s="64"/>
      <c r="R17" s="64"/>
      <c r="S17" s="64"/>
      <c r="T17" s="176"/>
      <c r="U17" s="128"/>
    </row>
    <row r="18" spans="1:21" ht="15">
      <c r="A18" s="170"/>
      <c r="B18" s="92" t="s">
        <v>93</v>
      </c>
      <c r="C18" s="64"/>
      <c r="D18" s="171"/>
      <c r="E18" s="172"/>
      <c r="F18" s="172"/>
      <c r="G18" s="75"/>
      <c r="H18" s="75"/>
      <c r="I18" s="70"/>
      <c r="J18" s="70"/>
      <c r="K18" s="75"/>
      <c r="L18" s="70"/>
      <c r="M18" s="70"/>
      <c r="N18" s="70"/>
      <c r="O18" s="70"/>
      <c r="P18" s="70"/>
      <c r="Q18" s="70"/>
      <c r="R18" s="70"/>
      <c r="S18" s="70"/>
      <c r="T18" s="175"/>
      <c r="U18" s="128"/>
    </row>
    <row r="19" spans="1:21" ht="15">
      <c r="A19" s="170"/>
      <c r="B19" s="92" t="s">
        <v>94</v>
      </c>
      <c r="C19" s="64"/>
      <c r="D19" s="171"/>
      <c r="E19" s="172"/>
      <c r="F19" s="172"/>
      <c r="G19" s="75"/>
      <c r="H19" s="75"/>
      <c r="I19" s="70"/>
      <c r="J19" s="70"/>
      <c r="K19" s="75"/>
      <c r="L19" s="70"/>
      <c r="M19" s="70"/>
      <c r="N19" s="70"/>
      <c r="O19" s="70"/>
      <c r="P19" s="70"/>
      <c r="Q19" s="70"/>
      <c r="R19" s="70"/>
      <c r="S19" s="70"/>
      <c r="T19" s="175"/>
      <c r="U19" s="128"/>
    </row>
    <row r="20" spans="1:21" ht="15">
      <c r="A20" s="170"/>
      <c r="B20" s="92" t="s">
        <v>95</v>
      </c>
      <c r="C20" s="64"/>
      <c r="D20" s="171"/>
      <c r="E20" s="172"/>
      <c r="F20" s="172"/>
      <c r="G20" s="75"/>
      <c r="H20" s="75"/>
      <c r="I20" s="70"/>
      <c r="J20" s="70"/>
      <c r="K20" s="75"/>
      <c r="L20" s="70"/>
      <c r="M20" s="70"/>
      <c r="N20" s="70"/>
      <c r="O20" s="70"/>
      <c r="P20" s="70"/>
      <c r="Q20" s="70"/>
      <c r="R20" s="70"/>
      <c r="S20" s="70"/>
      <c r="T20" s="175"/>
      <c r="U20" s="128"/>
    </row>
    <row r="21" spans="1:21" ht="15">
      <c r="A21" s="170"/>
      <c r="B21" s="92" t="s">
        <v>96</v>
      </c>
      <c r="C21" s="64"/>
      <c r="D21" s="171"/>
      <c r="E21" s="172">
        <v>1202141</v>
      </c>
      <c r="F21" s="172">
        <f>E21+721643</f>
        <v>1923784</v>
      </c>
      <c r="G21" s="75">
        <f>F21+207372</f>
        <v>2131156</v>
      </c>
      <c r="H21" s="75">
        <f>G21+121860</f>
        <v>2253016</v>
      </c>
      <c r="I21" s="81">
        <v>548712</v>
      </c>
      <c r="J21" s="75">
        <v>703881</v>
      </c>
      <c r="K21" s="75">
        <v>982463</v>
      </c>
      <c r="L21" s="75"/>
      <c r="M21" s="81"/>
      <c r="N21" s="81"/>
      <c r="O21" s="81"/>
      <c r="P21" s="81"/>
      <c r="Q21" s="81"/>
      <c r="R21" s="81"/>
      <c r="S21" s="81"/>
      <c r="T21" s="177"/>
      <c r="U21" s="128"/>
    </row>
    <row r="22" spans="1:21" ht="15">
      <c r="A22" s="170"/>
      <c r="B22" s="92" t="s">
        <v>97</v>
      </c>
      <c r="C22" s="64"/>
      <c r="D22" s="171"/>
      <c r="E22" s="172"/>
      <c r="F22" s="172"/>
      <c r="G22" s="75"/>
      <c r="H22" s="75"/>
      <c r="I22" s="81"/>
      <c r="J22" s="75"/>
      <c r="K22" s="75"/>
      <c r="L22" s="75"/>
      <c r="M22" s="81"/>
      <c r="N22" s="81"/>
      <c r="O22" s="81"/>
      <c r="P22" s="81"/>
      <c r="Q22" s="81"/>
      <c r="R22" s="81"/>
      <c r="S22" s="81"/>
      <c r="T22" s="177"/>
      <c r="U22" s="128"/>
    </row>
    <row r="23" spans="1:21" ht="15">
      <c r="A23" s="170"/>
      <c r="B23" s="69" t="s">
        <v>98</v>
      </c>
      <c r="C23" s="64"/>
      <c r="D23" s="171"/>
      <c r="E23" s="174">
        <f>SUM(E16:E22)</f>
        <v>6527040</v>
      </c>
      <c r="F23" s="174">
        <f>SUM(F16:F22)</f>
        <v>13352051</v>
      </c>
      <c r="G23" s="65">
        <f>SUM(G16:G22)</f>
        <v>21800157</v>
      </c>
      <c r="H23" s="65">
        <f>SUM(H16:H22)</f>
        <v>31599219</v>
      </c>
      <c r="I23" s="65">
        <f t="shared" ref="I23" si="1">SUM(I16:I22)</f>
        <v>11123072</v>
      </c>
      <c r="J23" s="65">
        <f>SUM(J16:J22)</f>
        <v>22009692</v>
      </c>
      <c r="K23" s="65">
        <f>SUM(K16:K22)</f>
        <v>40706983</v>
      </c>
      <c r="L23" s="65"/>
      <c r="M23" s="70"/>
      <c r="N23" s="70"/>
      <c r="O23" s="70"/>
      <c r="P23" s="70"/>
      <c r="Q23" s="70"/>
      <c r="R23" s="70"/>
      <c r="S23" s="70"/>
      <c r="T23" s="175"/>
      <c r="U23" s="128"/>
    </row>
    <row r="24" spans="1:21" ht="42" customHeight="1">
      <c r="A24" s="62" t="s">
        <v>35</v>
      </c>
      <c r="B24" s="90" t="s">
        <v>99</v>
      </c>
      <c r="C24" s="64">
        <v>10</v>
      </c>
      <c r="D24" s="171">
        <v>10</v>
      </c>
      <c r="E24" s="174">
        <f>E25+E26+E27</f>
        <v>7280315</v>
      </c>
      <c r="F24" s="174">
        <f>F23+F26</f>
        <v>14858601</v>
      </c>
      <c r="G24" s="65">
        <f>G23+G26</f>
        <v>24059982</v>
      </c>
      <c r="H24" s="65">
        <f>H23+H26</f>
        <v>34612318</v>
      </c>
      <c r="I24" s="65">
        <f>I25+I26+I27</f>
        <v>11863778.34701</v>
      </c>
      <c r="J24" s="65">
        <f>J25+J26+J27</f>
        <v>23469070.467</v>
      </c>
      <c r="K24" s="65">
        <f>K25+K26+K27</f>
        <v>42898184</v>
      </c>
      <c r="L24" s="65"/>
      <c r="M24" s="67">
        <f>I24/E24*100</f>
        <v>162.95693726178055</v>
      </c>
      <c r="N24" s="67">
        <f>J24/F24*100</f>
        <v>157.94939555211153</v>
      </c>
      <c r="O24" s="67">
        <f>K24/G24*100</f>
        <v>178.29682499346842</v>
      </c>
      <c r="P24" s="67">
        <f>L24/H24*100</f>
        <v>0</v>
      </c>
      <c r="Q24" s="67">
        <f>C24*M24/100</f>
        <v>16.295693726178055</v>
      </c>
      <c r="R24" s="67">
        <f>C24*N24/100</f>
        <v>15.794939555211153</v>
      </c>
      <c r="S24" s="67">
        <f>O24*C24/100</f>
        <v>17.829682499346841</v>
      </c>
      <c r="T24" s="178">
        <f>C24*P24/100</f>
        <v>0</v>
      </c>
      <c r="U24" s="169" t="s">
        <v>34</v>
      </c>
    </row>
    <row r="25" spans="1:21" ht="15">
      <c r="A25" s="62"/>
      <c r="B25" s="92" t="s">
        <v>100</v>
      </c>
      <c r="C25" s="70"/>
      <c r="D25" s="179"/>
      <c r="E25" s="172">
        <f>E23</f>
        <v>6527040</v>
      </c>
      <c r="F25" s="172">
        <f>F23</f>
        <v>13352051</v>
      </c>
      <c r="G25" s="75">
        <f>G23</f>
        <v>21800157</v>
      </c>
      <c r="H25" s="75">
        <f>H23</f>
        <v>31599219</v>
      </c>
      <c r="I25" s="65">
        <f t="shared" ref="I25" si="2">I23</f>
        <v>11123072</v>
      </c>
      <c r="J25" s="65">
        <f>J23</f>
        <v>22009692</v>
      </c>
      <c r="K25" s="75">
        <f>K23</f>
        <v>40706983</v>
      </c>
      <c r="L25" s="65"/>
      <c r="M25" s="65"/>
      <c r="N25" s="65"/>
      <c r="O25" s="65"/>
      <c r="P25" s="65"/>
      <c r="Q25" s="65"/>
      <c r="R25" s="65"/>
      <c r="S25" s="65"/>
      <c r="T25" s="180"/>
      <c r="U25" s="128"/>
    </row>
    <row r="26" spans="1:21" ht="29.25" customHeight="1">
      <c r="A26" s="170"/>
      <c r="B26" s="74" t="s">
        <v>101</v>
      </c>
      <c r="C26" s="64"/>
      <c r="D26" s="171"/>
      <c r="E26" s="172">
        <v>753275</v>
      </c>
      <c r="F26" s="172">
        <f>E26+753275</f>
        <v>1506550</v>
      </c>
      <c r="G26" s="75">
        <f>F26+753275</f>
        <v>2259825</v>
      </c>
      <c r="H26" s="75">
        <f>G26+753274</f>
        <v>3013099</v>
      </c>
      <c r="I26" s="75">
        <v>740706.34701000003</v>
      </c>
      <c r="J26" s="75">
        <v>1459378.4669999999</v>
      </c>
      <c r="K26" s="75">
        <v>2191201</v>
      </c>
      <c r="L26" s="75"/>
      <c r="M26" s="75"/>
      <c r="N26" s="75"/>
      <c r="O26" s="75"/>
      <c r="P26" s="75"/>
      <c r="Q26" s="75"/>
      <c r="R26" s="75"/>
      <c r="S26" s="75"/>
      <c r="T26" s="173"/>
      <c r="U26" s="128"/>
    </row>
    <row r="27" spans="1:21" ht="15">
      <c r="A27" s="170"/>
      <c r="B27" s="92" t="s">
        <v>102</v>
      </c>
      <c r="C27" s="64"/>
      <c r="D27" s="171"/>
      <c r="E27" s="172"/>
      <c r="F27" s="172"/>
      <c r="G27" s="75"/>
      <c r="H27" s="75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175"/>
      <c r="U27" s="128"/>
    </row>
    <row r="28" spans="1:21" ht="15">
      <c r="A28" s="170"/>
      <c r="B28" s="69" t="s">
        <v>103</v>
      </c>
      <c r="C28" s="64"/>
      <c r="D28" s="171"/>
      <c r="E28" s="174">
        <f>E23+E26</f>
        <v>7280315</v>
      </c>
      <c r="F28" s="174">
        <f>F23+F26</f>
        <v>14858601</v>
      </c>
      <c r="G28" s="65">
        <f>G23+G26</f>
        <v>24059982</v>
      </c>
      <c r="H28" s="65">
        <f>H23+H26</f>
        <v>34612318</v>
      </c>
      <c r="I28" s="65">
        <f t="shared" ref="I28" si="3">I23+I26</f>
        <v>11863778.34701</v>
      </c>
      <c r="J28" s="65">
        <f>SUM(J25:J27)</f>
        <v>23469070.467</v>
      </c>
      <c r="K28" s="65">
        <f>SUM(K25:K27)</f>
        <v>42898184</v>
      </c>
      <c r="L28" s="65"/>
      <c r="M28" s="70"/>
      <c r="N28" s="70"/>
      <c r="O28" s="70"/>
      <c r="P28" s="70"/>
      <c r="Q28" s="70"/>
      <c r="R28" s="70"/>
      <c r="S28" s="70"/>
      <c r="T28" s="175"/>
      <c r="U28" s="128"/>
    </row>
    <row r="29" spans="1:21" ht="17.25" customHeight="1">
      <c r="A29" s="62" t="s">
        <v>37</v>
      </c>
      <c r="B29" s="90" t="s">
        <v>104</v>
      </c>
      <c r="C29" s="64">
        <v>5</v>
      </c>
      <c r="D29" s="171">
        <v>5</v>
      </c>
      <c r="E29" s="171">
        <f>E31/E37</f>
        <v>0.91499773256964745</v>
      </c>
      <c r="F29" s="171">
        <f>F31/F37</f>
        <v>0.91262810546519668</v>
      </c>
      <c r="G29" s="64">
        <f>G31/G37</f>
        <v>0.90401220176384267</v>
      </c>
      <c r="H29" s="64">
        <f>H31/H37</f>
        <v>0.89739890688925494</v>
      </c>
      <c r="I29" s="64">
        <f t="shared" ref="I29" si="4">I31/I37</f>
        <v>0.81637669725310702</v>
      </c>
      <c r="J29" s="64">
        <f>J31/J37</f>
        <v>0.83169253161173906</v>
      </c>
      <c r="K29" s="64">
        <f>K31/K37</f>
        <v>0.80251028186977735</v>
      </c>
      <c r="L29" s="64"/>
      <c r="M29" s="67">
        <f>E29/I29*100</f>
        <v>112.08033443977202</v>
      </c>
      <c r="N29" s="67">
        <f>F29/J29*100</f>
        <v>109.73142967829858</v>
      </c>
      <c r="O29" s="67">
        <f>F29/K29*100</f>
        <v>113.72167137084581</v>
      </c>
      <c r="P29" s="67" t="e">
        <f>H29/L29*100</f>
        <v>#DIV/0!</v>
      </c>
      <c r="Q29" s="67">
        <f>C29*M29/100</f>
        <v>5.604016721988601</v>
      </c>
      <c r="R29" s="67">
        <f>C29*N29/100</f>
        <v>5.4865714839149291</v>
      </c>
      <c r="S29" s="67">
        <f>O29*C29/100</f>
        <v>5.6860835685422906</v>
      </c>
      <c r="T29" s="178" t="e">
        <f>C29*P29/100</f>
        <v>#DIV/0!</v>
      </c>
      <c r="U29" s="169" t="s">
        <v>44</v>
      </c>
    </row>
    <row r="30" spans="1:21" ht="15">
      <c r="A30" s="170"/>
      <c r="B30" s="92" t="s">
        <v>105</v>
      </c>
      <c r="C30" s="64"/>
      <c r="D30" s="171"/>
      <c r="E30" s="179"/>
      <c r="F30" s="179"/>
      <c r="G30" s="70"/>
      <c r="H30" s="70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176"/>
      <c r="U30" s="128"/>
    </row>
    <row r="31" spans="1:21" ht="15">
      <c r="A31" s="181"/>
      <c r="B31" s="92" t="s">
        <v>106</v>
      </c>
      <c r="C31" s="64"/>
      <c r="D31" s="171"/>
      <c r="E31" s="174">
        <f>E32+E33</f>
        <v>67972195</v>
      </c>
      <c r="F31" s="174">
        <f>F32+F33</f>
        <v>135027310</v>
      </c>
      <c r="G31" s="65">
        <f>G32+G33</f>
        <v>199309728</v>
      </c>
      <c r="H31" s="65">
        <f>H32+H33</f>
        <v>268947587</v>
      </c>
      <c r="I31" s="65">
        <f t="shared" ref="I31:K31" si="5">I32+I33</f>
        <v>48899600</v>
      </c>
      <c r="J31" s="65">
        <f t="shared" si="5"/>
        <v>107245798</v>
      </c>
      <c r="K31" s="65">
        <f t="shared" si="5"/>
        <v>160742535</v>
      </c>
      <c r="L31" s="65"/>
      <c r="M31" s="70"/>
      <c r="N31" s="70"/>
      <c r="O31" s="70"/>
      <c r="P31" s="70"/>
      <c r="Q31" s="70"/>
      <c r="R31" s="70"/>
      <c r="S31" s="70"/>
      <c r="T31" s="175"/>
      <c r="U31" s="128"/>
    </row>
    <row r="32" spans="1:21" ht="15">
      <c r="A32" s="181"/>
      <c r="B32" s="92" t="s">
        <v>107</v>
      </c>
      <c r="C32" s="64"/>
      <c r="D32" s="171"/>
      <c r="E32" s="172">
        <v>62529098</v>
      </c>
      <c r="F32" s="172">
        <f>E32+61645616</f>
        <v>124174714</v>
      </c>
      <c r="G32" s="75">
        <f>F32+58028052</f>
        <v>182202766</v>
      </c>
      <c r="H32" s="75">
        <f>G32+63320840</f>
        <v>245523606</v>
      </c>
      <c r="I32" s="75">
        <v>45607822</v>
      </c>
      <c r="J32" s="75">
        <v>99249180</v>
      </c>
      <c r="K32" s="75">
        <v>146986440</v>
      </c>
      <c r="L32" s="75"/>
      <c r="M32" s="70"/>
      <c r="N32" s="70"/>
      <c r="O32" s="70"/>
      <c r="P32" s="70"/>
      <c r="Q32" s="70"/>
      <c r="R32" s="70"/>
      <c r="S32" s="70"/>
      <c r="T32" s="175"/>
      <c r="U32" s="128"/>
    </row>
    <row r="33" spans="1:21" ht="15">
      <c r="A33" s="181"/>
      <c r="B33" s="182" t="s">
        <v>108</v>
      </c>
      <c r="C33" s="64"/>
      <c r="D33" s="171"/>
      <c r="E33" s="172">
        <f t="shared" ref="E33:I33" si="6">E34+E35+E36</f>
        <v>5443097</v>
      </c>
      <c r="F33" s="172">
        <f t="shared" si="6"/>
        <v>10852596</v>
      </c>
      <c r="G33" s="75">
        <f t="shared" si="6"/>
        <v>17106962</v>
      </c>
      <c r="H33" s="75">
        <f t="shared" si="6"/>
        <v>23423981</v>
      </c>
      <c r="I33" s="75">
        <f t="shared" si="6"/>
        <v>3291778</v>
      </c>
      <c r="J33" s="75">
        <f>J34+J35+J36</f>
        <v>7996618</v>
      </c>
      <c r="K33" s="75">
        <f>K34+K35+K36</f>
        <v>13756095</v>
      </c>
      <c r="L33" s="75"/>
      <c r="M33" s="70"/>
      <c r="N33" s="70"/>
      <c r="O33" s="70"/>
      <c r="P33" s="70"/>
      <c r="Q33" s="70"/>
      <c r="R33" s="70"/>
      <c r="S33" s="70"/>
      <c r="T33" s="175"/>
      <c r="U33" s="128"/>
    </row>
    <row r="34" spans="1:21" ht="15">
      <c r="A34" s="181"/>
      <c r="B34" s="92" t="s">
        <v>109</v>
      </c>
      <c r="C34" s="64"/>
      <c r="D34" s="171"/>
      <c r="E34" s="172">
        <v>328764</v>
      </c>
      <c r="F34" s="172">
        <f>E34+328764</f>
        <v>657528</v>
      </c>
      <c r="G34" s="75">
        <f>F34+328764</f>
        <v>986292</v>
      </c>
      <c r="H34" s="75">
        <f>G34+328764</f>
        <v>1315056</v>
      </c>
      <c r="I34" s="75">
        <v>337215</v>
      </c>
      <c r="J34" s="75">
        <v>730522</v>
      </c>
      <c r="K34" s="75">
        <v>1144709</v>
      </c>
      <c r="L34" s="75"/>
      <c r="M34" s="70"/>
      <c r="N34" s="70"/>
      <c r="O34" s="70"/>
      <c r="P34" s="70"/>
      <c r="Q34" s="70"/>
      <c r="R34" s="70"/>
      <c r="S34" s="70"/>
      <c r="T34" s="175"/>
      <c r="U34" s="128"/>
    </row>
    <row r="35" spans="1:21" ht="15">
      <c r="A35" s="181"/>
      <c r="B35" s="92" t="s">
        <v>110</v>
      </c>
      <c r="C35" s="64"/>
      <c r="D35" s="171"/>
      <c r="E35" s="172">
        <v>1326907</v>
      </c>
      <c r="F35" s="172">
        <f>E35+1326907</f>
        <v>2653814</v>
      </c>
      <c r="G35" s="75">
        <f>F35+1326907</f>
        <v>3980721</v>
      </c>
      <c r="H35" s="75">
        <f>G35+1326909</f>
        <v>5307630</v>
      </c>
      <c r="I35" s="75">
        <v>932922</v>
      </c>
      <c r="J35" s="75">
        <v>1959955</v>
      </c>
      <c r="K35" s="75">
        <v>3095993</v>
      </c>
      <c r="L35" s="75"/>
      <c r="M35" s="64"/>
      <c r="N35" s="64"/>
      <c r="O35" s="64"/>
      <c r="P35" s="64"/>
      <c r="Q35" s="64"/>
      <c r="R35" s="64"/>
      <c r="S35" s="64"/>
      <c r="T35" s="176"/>
      <c r="U35" s="128"/>
    </row>
    <row r="36" spans="1:21" ht="15">
      <c r="A36" s="181"/>
      <c r="B36" s="92" t="s">
        <v>111</v>
      </c>
      <c r="C36" s="64"/>
      <c r="D36" s="171"/>
      <c r="E36" s="172">
        <v>3787426</v>
      </c>
      <c r="F36" s="172">
        <f>E36+3753828</f>
        <v>7541254</v>
      </c>
      <c r="G36" s="75">
        <f>F36+4598695</f>
        <v>12139949</v>
      </c>
      <c r="H36" s="75">
        <f>G36+4661346</f>
        <v>16801295</v>
      </c>
      <c r="I36" s="75">
        <v>2021641</v>
      </c>
      <c r="J36" s="75">
        <v>5306141</v>
      </c>
      <c r="K36" s="75">
        <v>9515393</v>
      </c>
      <c r="L36" s="75"/>
      <c r="M36" s="70"/>
      <c r="N36" s="70"/>
      <c r="O36" s="70"/>
      <c r="P36" s="70"/>
      <c r="Q36" s="70"/>
      <c r="R36" s="70"/>
      <c r="S36" s="70"/>
      <c r="T36" s="175"/>
      <c r="U36" s="128"/>
    </row>
    <row r="37" spans="1:21" ht="15">
      <c r="A37" s="181"/>
      <c r="B37" s="92" t="s">
        <v>112</v>
      </c>
      <c r="C37" s="64"/>
      <c r="D37" s="171"/>
      <c r="E37" s="174">
        <v>74286736</v>
      </c>
      <c r="F37" s="174">
        <f>E37+73667627</f>
        <v>147954363</v>
      </c>
      <c r="G37" s="65">
        <f>F37+72518024</f>
        <v>220472387</v>
      </c>
      <c r="H37" s="65">
        <f>G37+79224420</f>
        <v>299696807</v>
      </c>
      <c r="I37" s="65">
        <v>59898329</v>
      </c>
      <c r="J37" s="65">
        <v>128948853</v>
      </c>
      <c r="K37" s="65">
        <v>200299658</v>
      </c>
      <c r="L37" s="65"/>
      <c r="M37" s="70"/>
      <c r="N37" s="70"/>
      <c r="O37" s="70"/>
      <c r="P37" s="70"/>
      <c r="Q37" s="70"/>
      <c r="R37" s="70"/>
      <c r="S37" s="70"/>
      <c r="T37" s="175"/>
      <c r="U37" s="128"/>
    </row>
    <row r="38" spans="1:21" ht="26.25">
      <c r="A38" s="62" t="s">
        <v>42</v>
      </c>
      <c r="B38" s="90" t="s">
        <v>113</v>
      </c>
      <c r="C38" s="64"/>
      <c r="D38" s="171"/>
      <c r="E38" s="179"/>
      <c r="F38" s="179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175"/>
      <c r="U38" s="183"/>
    </row>
    <row r="39" spans="1:21" ht="25.5">
      <c r="A39" s="181"/>
      <c r="B39" s="74" t="s">
        <v>114</v>
      </c>
      <c r="C39" s="64">
        <v>5</v>
      </c>
      <c r="D39" s="171">
        <v>5</v>
      </c>
      <c r="E39" s="184">
        <f>E40/E41*100</f>
        <v>17.839657427101713</v>
      </c>
      <c r="F39" s="184">
        <f>F40/F41*100</f>
        <v>32.205647038127509</v>
      </c>
      <c r="G39" s="67">
        <f>G40/G41*100</f>
        <v>66.704015592407501</v>
      </c>
      <c r="H39" s="67">
        <f>H40/H41*100</f>
        <v>95.468165667752587</v>
      </c>
      <c r="I39" s="67">
        <f t="shared" ref="I39:K39" si="7">I40/I41*100</f>
        <v>43.831479663864265</v>
      </c>
      <c r="J39" s="67">
        <f t="shared" si="7"/>
        <v>68.339329188600487</v>
      </c>
      <c r="K39" s="67">
        <f t="shared" si="7"/>
        <v>139.34790991486875</v>
      </c>
      <c r="L39" s="67"/>
      <c r="M39" s="67">
        <f>I39/E39*100</f>
        <v>245.69686858042581</v>
      </c>
      <c r="N39" s="67">
        <f>J39/F39*100</f>
        <v>212.1967278213512</v>
      </c>
      <c r="O39" s="67">
        <f>K39/G39*100</f>
        <v>208.90482930795224</v>
      </c>
      <c r="P39" s="67">
        <f>L39/H39*100</f>
        <v>0</v>
      </c>
      <c r="Q39" s="67">
        <f>C39*M39/100</f>
        <v>12.284843429021292</v>
      </c>
      <c r="R39" s="67">
        <f>C39*N39/100</f>
        <v>10.60983639106756</v>
      </c>
      <c r="S39" s="67">
        <f>O39*C39/100</f>
        <v>10.445241465397611</v>
      </c>
      <c r="T39" s="178">
        <f>C39*P39/100</f>
        <v>0</v>
      </c>
      <c r="U39" s="169" t="s">
        <v>50</v>
      </c>
    </row>
    <row r="40" spans="1:21" ht="15">
      <c r="A40" s="181"/>
      <c r="B40" s="92" t="s">
        <v>115</v>
      </c>
      <c r="C40" s="64"/>
      <c r="D40" s="171"/>
      <c r="E40" s="174">
        <v>4651176</v>
      </c>
      <c r="F40" s="174">
        <f>E40+5337332</f>
        <v>9988508</v>
      </c>
      <c r="G40" s="65">
        <f>F40+7215134</f>
        <v>17203642</v>
      </c>
      <c r="H40" s="65">
        <f>G40+8659402</f>
        <v>25863044</v>
      </c>
      <c r="I40" s="75">
        <f>I16</f>
        <v>8966464</v>
      </c>
      <c r="J40" s="75">
        <v>18041042</v>
      </c>
      <c r="K40" s="65">
        <v>33475655</v>
      </c>
      <c r="L40" s="65"/>
      <c r="M40" s="95"/>
      <c r="N40" s="95"/>
      <c r="O40" s="95"/>
      <c r="P40" s="95"/>
      <c r="Q40" s="95"/>
      <c r="R40" s="95"/>
      <c r="S40" s="95"/>
      <c r="T40" s="185"/>
      <c r="U40" s="128"/>
    </row>
    <row r="41" spans="1:21" ht="26.25">
      <c r="A41" s="181"/>
      <c r="B41" s="186" t="s">
        <v>116</v>
      </c>
      <c r="C41" s="64"/>
      <c r="D41" s="171"/>
      <c r="E41" s="179">
        <v>26072115</v>
      </c>
      <c r="F41" s="179">
        <v>31014772</v>
      </c>
      <c r="G41" s="70">
        <v>25791014</v>
      </c>
      <c r="H41" s="70">
        <v>27090752</v>
      </c>
      <c r="I41" s="187">
        <f>H98</f>
        <v>20456676.5</v>
      </c>
      <c r="J41" s="70">
        <f>K98</f>
        <v>26399208.5</v>
      </c>
      <c r="K41" s="70">
        <f>L98</f>
        <v>24023076.5</v>
      </c>
      <c r="L41" s="70"/>
      <c r="M41" s="70"/>
      <c r="N41" s="70"/>
      <c r="O41" s="70"/>
      <c r="P41" s="70"/>
      <c r="Q41" s="70"/>
      <c r="R41" s="70"/>
      <c r="S41" s="70"/>
      <c r="T41" s="175"/>
      <c r="U41" s="128"/>
    </row>
    <row r="42" spans="1:21" ht="25.5">
      <c r="A42" s="62" t="s">
        <v>47</v>
      </c>
      <c r="B42" s="94" t="s">
        <v>117</v>
      </c>
      <c r="C42" s="64"/>
      <c r="D42" s="171"/>
      <c r="E42" s="179"/>
      <c r="F42" s="179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175"/>
      <c r="U42" s="183"/>
    </row>
    <row r="43" spans="1:21" ht="25.5">
      <c r="A43" s="181"/>
      <c r="B43" s="74" t="s">
        <v>118</v>
      </c>
      <c r="C43" s="64">
        <v>5</v>
      </c>
      <c r="D43" s="171">
        <v>5</v>
      </c>
      <c r="E43" s="184">
        <f>E44/E45*100</f>
        <v>7.0748485327074482</v>
      </c>
      <c r="F43" s="184">
        <f>F44/F45*100</f>
        <v>16.417793649184681</v>
      </c>
      <c r="G43" s="67">
        <f>G44/G45*100</f>
        <v>26.753804020979498</v>
      </c>
      <c r="H43" s="67">
        <f>H44/H45*100</f>
        <v>37.737957715319943</v>
      </c>
      <c r="I43" s="67">
        <f t="shared" ref="I43:K43" si="8">I44/I45*100</f>
        <v>13.054409999119827</v>
      </c>
      <c r="J43" s="67">
        <f t="shared" si="8"/>
        <v>27.466406501946</v>
      </c>
      <c r="K43" s="67">
        <f t="shared" si="8"/>
        <v>45.744813584239765</v>
      </c>
      <c r="L43" s="67"/>
      <c r="M43" s="67">
        <f>I43/E43*100</f>
        <v>184.51857928503358</v>
      </c>
      <c r="N43" s="67">
        <f>J43/F43*100</f>
        <v>167.29657522105597</v>
      </c>
      <c r="O43" s="67">
        <f>K43/G43*100</f>
        <v>170.9843338478824</v>
      </c>
      <c r="P43" s="67">
        <f>L43/H43*100</f>
        <v>0</v>
      </c>
      <c r="Q43" s="67">
        <f>C43*M43/100</f>
        <v>9.2259289642516791</v>
      </c>
      <c r="R43" s="67">
        <f>C43*N43/100</f>
        <v>8.3648287610527987</v>
      </c>
      <c r="S43" s="67">
        <f>O43*C43/100</f>
        <v>8.5492166923941202</v>
      </c>
      <c r="T43" s="178">
        <f>C43*P43/100</f>
        <v>0</v>
      </c>
      <c r="U43" s="169" t="s">
        <v>50</v>
      </c>
    </row>
    <row r="44" spans="1:21" ht="15">
      <c r="A44" s="181"/>
      <c r="B44" s="92" t="s">
        <v>115</v>
      </c>
      <c r="C44" s="64"/>
      <c r="D44" s="171"/>
      <c r="E44" s="174">
        <v>4651176</v>
      </c>
      <c r="F44" s="174">
        <f>E44+5337332</f>
        <v>9988508</v>
      </c>
      <c r="G44" s="75">
        <f>F44+7215134</f>
        <v>17203642</v>
      </c>
      <c r="H44" s="75">
        <f>G44+8659402</f>
        <v>25863044</v>
      </c>
      <c r="I44" s="75">
        <f>I40</f>
        <v>8966464</v>
      </c>
      <c r="J44" s="75">
        <v>18041042</v>
      </c>
      <c r="K44" s="75">
        <f>K40</f>
        <v>33475655</v>
      </c>
      <c r="L44" s="65"/>
      <c r="M44" s="70"/>
      <c r="N44" s="70"/>
      <c r="O44" s="70"/>
      <c r="P44" s="70"/>
      <c r="Q44" s="70"/>
      <c r="R44" s="70"/>
      <c r="S44" s="70"/>
      <c r="T44" s="175"/>
      <c r="U44" s="128"/>
    </row>
    <row r="45" spans="1:21" ht="15">
      <c r="A45" s="181"/>
      <c r="B45" s="74" t="s">
        <v>119</v>
      </c>
      <c r="C45" s="64"/>
      <c r="D45" s="171"/>
      <c r="E45" s="179">
        <v>65742411</v>
      </c>
      <c r="F45" s="179">
        <v>60839527</v>
      </c>
      <c r="G45" s="70">
        <v>64303536</v>
      </c>
      <c r="H45" s="70">
        <v>68533237</v>
      </c>
      <c r="I45" s="75">
        <f>H103</f>
        <v>68685325.5</v>
      </c>
      <c r="J45" s="70">
        <f>K103</f>
        <v>65684027.5</v>
      </c>
      <c r="K45" s="70">
        <f>L103</f>
        <v>73179126.5</v>
      </c>
      <c r="L45" s="70"/>
      <c r="M45" s="70"/>
      <c r="N45" s="70"/>
      <c r="O45" s="70"/>
      <c r="P45" s="70"/>
      <c r="Q45" s="70"/>
      <c r="R45" s="70"/>
      <c r="S45" s="70"/>
      <c r="T45" s="175"/>
      <c r="U45" s="128"/>
    </row>
    <row r="46" spans="1:21" ht="15">
      <c r="A46" s="91" t="s">
        <v>55</v>
      </c>
      <c r="B46" s="94" t="s">
        <v>120</v>
      </c>
      <c r="C46" s="64"/>
      <c r="D46" s="171"/>
      <c r="E46" s="179"/>
      <c r="F46" s="179"/>
      <c r="G46" s="70"/>
      <c r="H46" s="70"/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89"/>
      <c r="U46" s="183"/>
    </row>
    <row r="47" spans="1:21" ht="51">
      <c r="A47" s="181"/>
      <c r="B47" s="79" t="s">
        <v>121</v>
      </c>
      <c r="C47" s="64">
        <v>5</v>
      </c>
      <c r="D47" s="171">
        <v>5</v>
      </c>
      <c r="E47" s="171">
        <f>E48/E49</f>
        <v>0.77704111115565611</v>
      </c>
      <c r="F47" s="171">
        <f>F48/F49</f>
        <v>0.51857433091653016</v>
      </c>
      <c r="G47" s="64">
        <f>G48/G49</f>
        <v>0.91002981944439454</v>
      </c>
      <c r="H47" s="64">
        <f>H48/H49</f>
        <v>0.96011044776119403</v>
      </c>
      <c r="I47" s="64">
        <f t="shared" ref="I47:K47" si="9">I48/I49</f>
        <v>0.52241956404405054</v>
      </c>
      <c r="J47" s="64">
        <f t="shared" si="9"/>
        <v>1.1257848192934101</v>
      </c>
      <c r="K47" s="64">
        <f t="shared" si="9"/>
        <v>4.3185945474555663</v>
      </c>
      <c r="L47" s="64"/>
      <c r="M47" s="67">
        <f>I47/E47*100</f>
        <v>67.231907880276879</v>
      </c>
      <c r="N47" s="67">
        <f>J47/F47*100</f>
        <v>217.0922762998496</v>
      </c>
      <c r="O47" s="67">
        <f>K47/G47*100</f>
        <v>474.55527886901791</v>
      </c>
      <c r="P47" s="67">
        <f>L47/H47*100</f>
        <v>0</v>
      </c>
      <c r="Q47" s="67">
        <f>C47*M47/100</f>
        <v>3.3615953940138441</v>
      </c>
      <c r="R47" s="67">
        <f>C47*N47/100</f>
        <v>10.854613814992481</v>
      </c>
      <c r="S47" s="67">
        <f>O47*C47/100</f>
        <v>23.727763943450896</v>
      </c>
      <c r="T47" s="178">
        <f>C47*P47/100</f>
        <v>0</v>
      </c>
      <c r="U47" s="169" t="s">
        <v>50</v>
      </c>
    </row>
    <row r="48" spans="1:21" ht="39">
      <c r="A48" s="181"/>
      <c r="B48" s="74" t="s">
        <v>122</v>
      </c>
      <c r="C48" s="64"/>
      <c r="D48" s="171"/>
      <c r="E48" s="179">
        <v>6086002</v>
      </c>
      <c r="F48" s="179">
        <v>9455186</v>
      </c>
      <c r="G48" s="70">
        <v>7085059</v>
      </c>
      <c r="H48" s="70">
        <v>9970747</v>
      </c>
      <c r="I48" s="187">
        <v>3493207</v>
      </c>
      <c r="J48" s="187">
        <v>10134217</v>
      </c>
      <c r="K48" s="187">
        <v>18352511</v>
      </c>
      <c r="L48" s="190"/>
      <c r="M48" s="188"/>
      <c r="N48" s="188"/>
      <c r="O48" s="188"/>
      <c r="P48" s="188"/>
      <c r="Q48" s="188"/>
      <c r="R48" s="188"/>
      <c r="S48" s="188"/>
      <c r="T48" s="189"/>
      <c r="U48" s="128"/>
    </row>
    <row r="49" spans="1:21" ht="26.25">
      <c r="A49" s="181"/>
      <c r="B49" s="74" t="s">
        <v>123</v>
      </c>
      <c r="C49" s="64"/>
      <c r="D49" s="171"/>
      <c r="E49" s="179">
        <v>7832278</v>
      </c>
      <c r="F49" s="179">
        <v>18233039</v>
      </c>
      <c r="G49" s="70">
        <v>7785524</v>
      </c>
      <c r="H49" s="70">
        <v>10385000</v>
      </c>
      <c r="I49" s="187">
        <v>6686593</v>
      </c>
      <c r="J49" s="187">
        <v>9001913</v>
      </c>
      <c r="K49" s="187">
        <v>4249649</v>
      </c>
      <c r="L49" s="190"/>
      <c r="M49" s="188"/>
      <c r="N49" s="188"/>
      <c r="O49" s="188"/>
      <c r="P49" s="188"/>
      <c r="Q49" s="188"/>
      <c r="R49" s="188"/>
      <c r="S49" s="188"/>
      <c r="T49" s="189"/>
      <c r="U49" s="128"/>
    </row>
    <row r="50" spans="1:21" ht="26.25">
      <c r="A50" s="191" t="s">
        <v>61</v>
      </c>
      <c r="B50" s="90" t="s">
        <v>124</v>
      </c>
      <c r="C50" s="64"/>
      <c r="D50" s="171"/>
      <c r="E50" s="179"/>
      <c r="F50" s="179"/>
      <c r="G50" s="70"/>
      <c r="H50" s="70"/>
      <c r="I50" s="188"/>
      <c r="J50" s="188"/>
      <c r="K50" s="188"/>
      <c r="L50" s="192"/>
      <c r="M50" s="188"/>
      <c r="N50" s="188"/>
      <c r="O50" s="188"/>
      <c r="P50" s="188"/>
      <c r="Q50" s="188"/>
      <c r="R50" s="188"/>
      <c r="S50" s="188"/>
      <c r="T50" s="189"/>
      <c r="U50" s="128"/>
    </row>
    <row r="51" spans="1:21" ht="14.25">
      <c r="A51" s="181"/>
      <c r="B51" s="193" t="s">
        <v>125</v>
      </c>
      <c r="C51" s="64">
        <v>4.9999874999999996</v>
      </c>
      <c r="D51" s="171">
        <v>5</v>
      </c>
      <c r="E51" s="184">
        <f>E53/(E52/E54)</f>
        <v>2.0592932633357321</v>
      </c>
      <c r="F51" s="184">
        <f>F53/(F52/F54)</f>
        <v>11.28697762701327</v>
      </c>
      <c r="G51" s="67">
        <f>G53/(G52/G54)</f>
        <v>2.2938927381413983</v>
      </c>
      <c r="H51" s="67">
        <f>H53/(H52/H54)</f>
        <v>2.0122900658731409</v>
      </c>
      <c r="I51" s="67">
        <f t="shared" ref="I51:K51" si="10">I53/(I52/I54)</f>
        <v>2.087911751261041</v>
      </c>
      <c r="J51" s="67">
        <f t="shared" si="10"/>
        <v>12.635600977389075</v>
      </c>
      <c r="K51" s="67">
        <f t="shared" si="10"/>
        <v>5.7920926505026777</v>
      </c>
      <c r="L51" s="67"/>
      <c r="M51" s="67">
        <f>E51/I51*100</f>
        <v>98.629324830993255</v>
      </c>
      <c r="N51" s="67">
        <f>F51/J51*100</f>
        <v>89.32679693835604</v>
      </c>
      <c r="O51" s="67">
        <f>G51/K51*100</f>
        <v>39.603868179531254</v>
      </c>
      <c r="P51" s="64" t="e">
        <f>H51/L51*100</f>
        <v>#DIV/0!</v>
      </c>
      <c r="Q51" s="67">
        <f>C51*M51/100</f>
        <v>4.9314539128840584</v>
      </c>
      <c r="R51" s="67">
        <f>C51*N51/100</f>
        <v>4.4663286810681839</v>
      </c>
      <c r="S51" s="67">
        <f>O51*C51/100</f>
        <v>1.98018845849304</v>
      </c>
      <c r="T51" s="178" t="e">
        <f>C51*P51/100</f>
        <v>#DIV/0!</v>
      </c>
      <c r="U51" s="169" t="s">
        <v>44</v>
      </c>
    </row>
    <row r="52" spans="1:21" ht="51">
      <c r="A52" s="181"/>
      <c r="B52" s="79" t="s">
        <v>126</v>
      </c>
      <c r="C52" s="64"/>
      <c r="D52" s="171"/>
      <c r="E52" s="174">
        <v>74286736</v>
      </c>
      <c r="F52" s="174">
        <f>E52+73667627</f>
        <v>147954363</v>
      </c>
      <c r="G52" s="75">
        <f>F52+72518024</f>
        <v>220472387</v>
      </c>
      <c r="H52" s="75">
        <f>G52+79224420</f>
        <v>299696807</v>
      </c>
      <c r="I52" s="75">
        <v>59898329</v>
      </c>
      <c r="J52" s="75">
        <v>128948853</v>
      </c>
      <c r="K52" s="75">
        <v>200299658</v>
      </c>
      <c r="L52" s="190"/>
      <c r="M52" s="188"/>
      <c r="N52" s="188"/>
      <c r="O52" s="188"/>
      <c r="P52" s="188"/>
      <c r="Q52" s="188"/>
      <c r="R52" s="188"/>
      <c r="S52" s="188"/>
      <c r="T52" s="189"/>
      <c r="U52" s="128"/>
    </row>
    <row r="53" spans="1:21" ht="26.25">
      <c r="A53" s="181"/>
      <c r="B53" s="74" t="s">
        <v>127</v>
      </c>
      <c r="C53" s="64"/>
      <c r="D53" s="171"/>
      <c r="E53" s="179">
        <v>90</v>
      </c>
      <c r="F53" s="179">
        <v>181</v>
      </c>
      <c r="G53" s="70">
        <v>273</v>
      </c>
      <c r="H53" s="70">
        <v>365</v>
      </c>
      <c r="I53" s="188">
        <v>90</v>
      </c>
      <c r="J53" s="188">
        <v>181</v>
      </c>
      <c r="K53" s="188">
        <v>273</v>
      </c>
      <c r="L53" s="192"/>
      <c r="M53" s="188"/>
      <c r="N53" s="188"/>
      <c r="O53" s="188"/>
      <c r="P53" s="188"/>
      <c r="Q53" s="188"/>
      <c r="R53" s="188"/>
      <c r="S53" s="188"/>
      <c r="T53" s="189"/>
      <c r="U53" s="128"/>
    </row>
    <row r="54" spans="1:21" ht="67.5" customHeight="1">
      <c r="A54" s="181"/>
      <c r="B54" s="74" t="s">
        <v>128</v>
      </c>
      <c r="C54" s="64"/>
      <c r="D54" s="171"/>
      <c r="E54" s="179">
        <f>(1919531+1479984)/2</f>
        <v>1699757.5</v>
      </c>
      <c r="F54" s="179">
        <f>(1919531+16533039)/2</f>
        <v>9226285</v>
      </c>
      <c r="G54" s="70">
        <f>(1919531+1785524)/2</f>
        <v>1852527.5</v>
      </c>
      <c r="H54" s="70">
        <f>(1919531+1385000)/2</f>
        <v>1652265.5</v>
      </c>
      <c r="I54" s="194">
        <f>(1919531+859634)/2</f>
        <v>1389582.5</v>
      </c>
      <c r="J54" s="188">
        <v>9001913</v>
      </c>
      <c r="K54" s="188">
        <v>4249649</v>
      </c>
      <c r="L54" s="192"/>
      <c r="M54" s="188"/>
      <c r="N54" s="188"/>
      <c r="O54" s="188"/>
      <c r="P54" s="188"/>
      <c r="Q54" s="188"/>
      <c r="R54" s="188"/>
      <c r="S54" s="188"/>
      <c r="T54" s="189"/>
      <c r="U54" s="128"/>
    </row>
    <row r="55" spans="1:21" ht="26.25">
      <c r="A55" s="93" t="s">
        <v>66</v>
      </c>
      <c r="B55" s="90" t="s">
        <v>129</v>
      </c>
      <c r="C55" s="64"/>
      <c r="D55" s="171"/>
      <c r="E55" s="179"/>
      <c r="F55" s="179"/>
      <c r="G55" s="70"/>
      <c r="H55" s="70"/>
      <c r="I55" s="188"/>
      <c r="J55" s="188"/>
      <c r="K55" s="188"/>
      <c r="L55" s="192"/>
      <c r="M55" s="188"/>
      <c r="N55" s="188"/>
      <c r="O55" s="188"/>
      <c r="P55" s="188"/>
      <c r="Q55" s="188"/>
      <c r="R55" s="188"/>
      <c r="S55" s="188"/>
      <c r="T55" s="189"/>
      <c r="U55" s="183"/>
    </row>
    <row r="56" spans="1:21" ht="14.25">
      <c r="A56" s="62"/>
      <c r="B56" s="74" t="s">
        <v>130</v>
      </c>
      <c r="C56" s="64">
        <v>5</v>
      </c>
      <c r="D56" s="171">
        <v>5</v>
      </c>
      <c r="E56" s="184">
        <f>E58/(E57/E59)</f>
        <v>6.0562829816617603</v>
      </c>
      <c r="F56" s="184">
        <f>F58/(F57/F59)</f>
        <v>6.6250206051713398</v>
      </c>
      <c r="G56" s="67">
        <f>G58/(G57/G59)</f>
        <v>4.7643432531077012</v>
      </c>
      <c r="H56" s="67">
        <f>H58/(H57/H59)</f>
        <v>5.0808108959932961</v>
      </c>
      <c r="I56" s="67">
        <f t="shared" ref="I56:K56" si="11">I58/(I57/I59)</f>
        <v>16.585883556117231</v>
      </c>
      <c r="J56" s="67">
        <f t="shared" si="11"/>
        <v>36.691002695464071</v>
      </c>
      <c r="K56" s="67">
        <f t="shared" si="11"/>
        <v>23.870254391547689</v>
      </c>
      <c r="L56" s="67"/>
      <c r="M56" s="67">
        <f>E56/I56*100</f>
        <v>36.514684075591937</v>
      </c>
      <c r="N56" s="67">
        <f>F56/J56*100</f>
        <v>18.056253900061332</v>
      </c>
      <c r="O56" s="67">
        <f>G56/K56*100</f>
        <v>19.959331706136847</v>
      </c>
      <c r="P56" s="67" t="e">
        <f>H56/L56*100</f>
        <v>#DIV/0!</v>
      </c>
      <c r="Q56" s="67">
        <f>C56*M56/100</f>
        <v>1.8257342037795967</v>
      </c>
      <c r="R56" s="67">
        <f>C56*N56/100</f>
        <v>0.9028126950030666</v>
      </c>
      <c r="S56" s="67">
        <f>O56*C56/100</f>
        <v>0.99796658530684246</v>
      </c>
      <c r="T56" s="178" t="e">
        <f>C56*P56/100</f>
        <v>#DIV/0!</v>
      </c>
      <c r="U56" s="169" t="s">
        <v>131</v>
      </c>
    </row>
    <row r="57" spans="1:21" ht="51.75">
      <c r="A57" s="62"/>
      <c r="B57" s="74" t="s">
        <v>126</v>
      </c>
      <c r="C57" s="64"/>
      <c r="D57" s="171"/>
      <c r="E57" s="174">
        <v>74286736</v>
      </c>
      <c r="F57" s="174">
        <f>E57+73667627</f>
        <v>147954363</v>
      </c>
      <c r="G57" s="75">
        <f>F57+72518024</f>
        <v>220472387</v>
      </c>
      <c r="H57" s="65">
        <f>G57+79224420</f>
        <v>299696807</v>
      </c>
      <c r="I57" s="65">
        <f>I52</f>
        <v>59898329</v>
      </c>
      <c r="J57" s="65">
        <v>128948853</v>
      </c>
      <c r="K57" s="75">
        <f>K52</f>
        <v>200299658</v>
      </c>
      <c r="L57" s="190"/>
      <c r="M57" s="188"/>
      <c r="N57" s="188"/>
      <c r="O57" s="188"/>
      <c r="P57" s="188"/>
      <c r="Q57" s="188"/>
      <c r="R57" s="188"/>
      <c r="S57" s="188"/>
      <c r="T57" s="189"/>
      <c r="U57" s="128"/>
    </row>
    <row r="58" spans="1:21" ht="26.25">
      <c r="A58" s="62"/>
      <c r="B58" s="74" t="s">
        <v>127</v>
      </c>
      <c r="C58" s="64"/>
      <c r="D58" s="171"/>
      <c r="E58" s="179">
        <v>90</v>
      </c>
      <c r="F58" s="179">
        <v>181</v>
      </c>
      <c r="G58" s="70">
        <v>273</v>
      </c>
      <c r="H58" s="70">
        <v>365</v>
      </c>
      <c r="I58" s="188">
        <v>90</v>
      </c>
      <c r="J58" s="195">
        <v>181</v>
      </c>
      <c r="K58" s="188">
        <v>273</v>
      </c>
      <c r="L58" s="196"/>
      <c r="M58" s="188"/>
      <c r="N58" s="188"/>
      <c r="O58" s="188"/>
      <c r="P58" s="188"/>
      <c r="Q58" s="188"/>
      <c r="R58" s="188"/>
      <c r="S58" s="188"/>
      <c r="T58" s="189"/>
      <c r="U58" s="128"/>
    </row>
    <row r="59" spans="1:21" ht="76.5">
      <c r="A59" s="62"/>
      <c r="B59" s="79" t="s">
        <v>132</v>
      </c>
      <c r="C59" s="64"/>
      <c r="D59" s="171"/>
      <c r="E59" s="179">
        <f>(4643587+5354224)/2</f>
        <v>4998905.5</v>
      </c>
      <c r="F59" s="179">
        <f>(4643587+6187360)/2</f>
        <v>5415473.5</v>
      </c>
      <c r="G59" s="70">
        <f>(4643587+3051696)/2</f>
        <v>3847641.5</v>
      </c>
      <c r="H59" s="70">
        <f>(4643587+3699990)/2</f>
        <v>4171788.5</v>
      </c>
      <c r="I59" s="187">
        <f>(4643587+17433451)/2</f>
        <v>11038519</v>
      </c>
      <c r="J59" s="187">
        <v>26139573</v>
      </c>
      <c r="K59" s="187">
        <v>17513567</v>
      </c>
      <c r="L59" s="190"/>
      <c r="M59" s="188"/>
      <c r="N59" s="188"/>
      <c r="O59" s="188"/>
      <c r="P59" s="188"/>
      <c r="Q59" s="188"/>
      <c r="R59" s="188"/>
      <c r="S59" s="188"/>
      <c r="T59" s="189"/>
      <c r="U59" s="128"/>
    </row>
    <row r="60" spans="1:21" ht="45.75" customHeight="1">
      <c r="A60" s="197" t="s">
        <v>68</v>
      </c>
      <c r="B60" s="84" t="s">
        <v>133</v>
      </c>
      <c r="C60" s="70"/>
      <c r="D60" s="179"/>
      <c r="E60" s="171"/>
      <c r="F60" s="171"/>
      <c r="G60" s="64"/>
      <c r="H60" s="64"/>
      <c r="I60" s="187"/>
      <c r="J60" s="187"/>
      <c r="K60" s="187"/>
      <c r="L60" s="190"/>
      <c r="M60" s="188"/>
      <c r="N60" s="188"/>
      <c r="O60" s="188"/>
      <c r="P60" s="188"/>
      <c r="Q60" s="188"/>
      <c r="R60" s="188"/>
      <c r="S60" s="188"/>
      <c r="T60" s="189"/>
      <c r="U60" s="169" t="s">
        <v>44</v>
      </c>
    </row>
    <row r="61" spans="1:21" ht="14.25">
      <c r="A61" s="198"/>
      <c r="B61" s="199" t="s">
        <v>134</v>
      </c>
      <c r="C61" s="64">
        <v>5</v>
      </c>
      <c r="D61" s="171">
        <v>5</v>
      </c>
      <c r="E61" s="171">
        <f>E62/E63</f>
        <v>0.56062835281512269</v>
      </c>
      <c r="F61" s="171">
        <f>F62/F63</f>
        <v>0.57994436869633326</v>
      </c>
      <c r="G61" s="64">
        <f>G62/G63</f>
        <v>0.59062543131884138</v>
      </c>
      <c r="H61" s="64">
        <f>H62/H63</f>
        <v>0.59542437796206782</v>
      </c>
      <c r="I61" s="64">
        <f t="shared" ref="I61:K61" si="12">I62/I63</f>
        <v>0.57313807833547481</v>
      </c>
      <c r="J61" s="64">
        <f t="shared" si="12"/>
        <v>0.58543448051910885</v>
      </c>
      <c r="K61" s="64">
        <f t="shared" si="12"/>
        <v>0.54812891099016459</v>
      </c>
      <c r="L61" s="64"/>
      <c r="M61" s="67">
        <f>E61/I61*100</f>
        <v>97.817327797049671</v>
      </c>
      <c r="N61" s="67">
        <f>F61/J61*100</f>
        <v>99.062215840463054</v>
      </c>
      <c r="O61" s="67">
        <f>G61/K61*100</f>
        <v>107.75301566412712</v>
      </c>
      <c r="P61" s="67" t="e">
        <f>H61/L61*100</f>
        <v>#DIV/0!</v>
      </c>
      <c r="Q61" s="67">
        <f>C61*M61/100</f>
        <v>4.8908663898524836</v>
      </c>
      <c r="R61" s="67">
        <f>C61*N61/100</f>
        <v>4.9531107920231525</v>
      </c>
      <c r="S61" s="67">
        <f>O61*C61/100</f>
        <v>5.3876507832063556</v>
      </c>
      <c r="T61" s="178" t="e">
        <f>C61*P61/100</f>
        <v>#DIV/0!</v>
      </c>
      <c r="U61" s="128"/>
    </row>
    <row r="62" spans="1:21" ht="27" customHeight="1">
      <c r="A62" s="198"/>
      <c r="B62" s="85" t="s">
        <v>135</v>
      </c>
      <c r="C62" s="64"/>
      <c r="D62" s="171"/>
      <c r="E62" s="200">
        <v>30298153</v>
      </c>
      <c r="F62" s="200">
        <v>31898799</v>
      </c>
      <c r="G62" s="201">
        <v>33613205</v>
      </c>
      <c r="H62" s="201">
        <v>35404651</v>
      </c>
      <c r="I62" s="187">
        <v>29300593</v>
      </c>
      <c r="J62" s="187">
        <v>29970395</v>
      </c>
      <c r="K62" s="187">
        <v>30182992</v>
      </c>
      <c r="L62" s="190"/>
      <c r="M62" s="188"/>
      <c r="N62" s="188"/>
      <c r="O62" s="188"/>
      <c r="P62" s="188"/>
      <c r="Q62" s="188"/>
      <c r="R62" s="188"/>
      <c r="S62" s="188"/>
      <c r="T62" s="189"/>
      <c r="U62" s="128"/>
    </row>
    <row r="63" spans="1:21" ht="44.25" customHeight="1">
      <c r="A63" s="198"/>
      <c r="B63" s="84" t="s">
        <v>136</v>
      </c>
      <c r="C63" s="64"/>
      <c r="D63" s="171"/>
      <c r="E63" s="200">
        <v>54043205</v>
      </c>
      <c r="F63" s="200">
        <v>55003205</v>
      </c>
      <c r="G63" s="201">
        <v>56911205</v>
      </c>
      <c r="H63" s="201">
        <v>59461205</v>
      </c>
      <c r="I63" s="187">
        <v>51123096</v>
      </c>
      <c r="J63" s="187">
        <v>51193423</v>
      </c>
      <c r="K63" s="187">
        <v>55065499</v>
      </c>
      <c r="L63" s="190"/>
      <c r="M63" s="188"/>
      <c r="N63" s="188"/>
      <c r="O63" s="188"/>
      <c r="P63" s="188"/>
      <c r="Q63" s="188"/>
      <c r="R63" s="188"/>
      <c r="S63" s="188"/>
      <c r="T63" s="189"/>
      <c r="U63" s="128"/>
    </row>
    <row r="64" spans="1:21" ht="15">
      <c r="A64" s="197" t="s">
        <v>137</v>
      </c>
      <c r="B64" s="84" t="s">
        <v>138</v>
      </c>
      <c r="C64" s="64"/>
      <c r="D64" s="171"/>
      <c r="E64" s="179"/>
      <c r="F64" s="179"/>
      <c r="G64" s="70"/>
      <c r="H64" s="70"/>
      <c r="I64" s="195"/>
      <c r="J64" s="195"/>
      <c r="K64" s="195"/>
      <c r="L64" s="196"/>
      <c r="M64" s="188"/>
      <c r="N64" s="188"/>
      <c r="O64" s="188"/>
      <c r="P64" s="188"/>
      <c r="Q64" s="188"/>
      <c r="R64" s="188"/>
      <c r="S64" s="188"/>
      <c r="T64" s="189"/>
      <c r="U64" s="128"/>
    </row>
    <row r="65" spans="1:21" ht="14.25">
      <c r="A65" s="202"/>
      <c r="B65" s="203" t="s">
        <v>139</v>
      </c>
      <c r="C65" s="64">
        <v>10</v>
      </c>
      <c r="D65" s="171">
        <v>10</v>
      </c>
      <c r="E65" s="171">
        <f>E66/E67</f>
        <v>225795.55015197568</v>
      </c>
      <c r="F65" s="171">
        <f>F66/F67</f>
        <v>449709.31003039517</v>
      </c>
      <c r="G65" s="64">
        <f>G66/G67</f>
        <v>670128.83586626139</v>
      </c>
      <c r="H65" s="64">
        <f>H66/H67</f>
        <v>910932.54407294828</v>
      </c>
      <c r="I65" s="64">
        <f t="shared" ref="I65:K65" si="13">I66/I67</f>
        <v>184302.55076923076</v>
      </c>
      <c r="J65" s="64">
        <f t="shared" si="13"/>
        <v>401709.82242990652</v>
      </c>
      <c r="K65" s="64">
        <f t="shared" si="13"/>
        <v>635871.93015873013</v>
      </c>
      <c r="L65" s="64"/>
      <c r="M65" s="67">
        <f>I65/E65*100</f>
        <v>81.623641672824235</v>
      </c>
      <c r="N65" s="67">
        <f>J65/F65*100</f>
        <v>89.326552390644437</v>
      </c>
      <c r="O65" s="67">
        <f>K65/G65*100</f>
        <v>94.888011994999715</v>
      </c>
      <c r="P65" s="67">
        <f>L65/H65*100</f>
        <v>0</v>
      </c>
      <c r="Q65" s="67">
        <f>C65*M65/100</f>
        <v>8.1623641672824245</v>
      </c>
      <c r="R65" s="67">
        <f>C65*N65/100</f>
        <v>8.9326552390644434</v>
      </c>
      <c r="S65" s="67">
        <f>O65*C65/100</f>
        <v>9.4888011994999708</v>
      </c>
      <c r="T65" s="178">
        <f>C65*P65/100</f>
        <v>0</v>
      </c>
      <c r="U65" s="169" t="s">
        <v>34</v>
      </c>
    </row>
    <row r="66" spans="1:21" ht="51">
      <c r="A66" s="202"/>
      <c r="B66" s="85" t="s">
        <v>140</v>
      </c>
      <c r="C66" s="64"/>
      <c r="D66" s="171"/>
      <c r="E66" s="174">
        <v>74286736</v>
      </c>
      <c r="F66" s="174">
        <f>E66+73667627</f>
        <v>147954363</v>
      </c>
      <c r="G66" s="65">
        <f>F66+72518024</f>
        <v>220472387</v>
      </c>
      <c r="H66" s="65">
        <f>G66+79224420</f>
        <v>299696807</v>
      </c>
      <c r="I66" s="65">
        <f>I57</f>
        <v>59898329</v>
      </c>
      <c r="J66" s="65">
        <v>128948853</v>
      </c>
      <c r="K66" s="75">
        <v>200299658</v>
      </c>
      <c r="L66" s="190"/>
      <c r="M66" s="188"/>
      <c r="N66" s="188"/>
      <c r="O66" s="188"/>
      <c r="P66" s="188"/>
      <c r="Q66" s="188"/>
      <c r="R66" s="188"/>
      <c r="S66" s="188"/>
      <c r="T66" s="189"/>
      <c r="U66" s="128"/>
    </row>
    <row r="67" spans="1:21" ht="25.5">
      <c r="A67" s="202"/>
      <c r="B67" s="204" t="s">
        <v>141</v>
      </c>
      <c r="C67" s="64"/>
      <c r="D67" s="171"/>
      <c r="E67" s="172">
        <v>329</v>
      </c>
      <c r="F67" s="172">
        <v>329</v>
      </c>
      <c r="G67" s="75">
        <v>329</v>
      </c>
      <c r="H67" s="75">
        <v>329</v>
      </c>
      <c r="I67" s="187">
        <v>325</v>
      </c>
      <c r="J67" s="187">
        <v>321</v>
      </c>
      <c r="K67" s="187">
        <v>315</v>
      </c>
      <c r="L67" s="190"/>
      <c r="M67" s="188"/>
      <c r="N67" s="188"/>
      <c r="O67" s="188"/>
      <c r="P67" s="188"/>
      <c r="Q67" s="188"/>
      <c r="R67" s="188"/>
      <c r="S67" s="188"/>
      <c r="T67" s="189"/>
      <c r="U67" s="128"/>
    </row>
    <row r="68" spans="1:21" ht="25.5">
      <c r="A68" s="197" t="s">
        <v>142</v>
      </c>
      <c r="B68" s="84" t="s">
        <v>143</v>
      </c>
      <c r="C68" s="64"/>
      <c r="D68" s="171"/>
      <c r="E68" s="171"/>
      <c r="F68" s="171"/>
      <c r="G68" s="64"/>
      <c r="H68" s="64"/>
      <c r="I68" s="195"/>
      <c r="J68" s="195"/>
      <c r="K68" s="195"/>
      <c r="L68" s="196"/>
      <c r="M68" s="188"/>
      <c r="N68" s="188"/>
      <c r="O68" s="188"/>
      <c r="P68" s="188"/>
      <c r="Q68" s="188"/>
      <c r="R68" s="188"/>
      <c r="S68" s="188"/>
      <c r="T68" s="189"/>
      <c r="U68" s="169" t="s">
        <v>34</v>
      </c>
    </row>
    <row r="69" spans="1:21" ht="14.25">
      <c r="A69" s="197"/>
      <c r="B69" s="203" t="s">
        <v>144</v>
      </c>
      <c r="C69" s="64">
        <v>5</v>
      </c>
      <c r="D69" s="171">
        <v>5</v>
      </c>
      <c r="E69" s="171">
        <f t="shared" ref="E69:K69" si="14">E70/E71</f>
        <v>0.37334093856690648</v>
      </c>
      <c r="F69" s="171">
        <f t="shared" si="14"/>
        <v>0.39566479224785089</v>
      </c>
      <c r="G69" s="64">
        <f t="shared" si="14"/>
        <v>0.52650871319426562</v>
      </c>
      <c r="H69" s="64">
        <f t="shared" si="14"/>
        <v>0.62650702174550854</v>
      </c>
      <c r="I69" s="95">
        <f t="shared" si="14"/>
        <v>3.1744296243194467E-3</v>
      </c>
      <c r="J69" s="95">
        <f t="shared" si="14"/>
        <v>8.8804715076778E-3</v>
      </c>
      <c r="K69" s="64">
        <f t="shared" si="14"/>
        <v>0.18406979650402591</v>
      </c>
      <c r="L69" s="64"/>
      <c r="M69" s="67">
        <f>I69/E69*100</f>
        <v>0.85027632825499977</v>
      </c>
      <c r="N69" s="67">
        <f>J69/F69*100</f>
        <v>2.2444431957733881</v>
      </c>
      <c r="O69" s="67">
        <f>K69/G69*100</f>
        <v>34.960446406916304</v>
      </c>
      <c r="P69" s="67">
        <f>L69/H69*100</f>
        <v>0</v>
      </c>
      <c r="Q69" s="64">
        <f>C69*M69/100</f>
        <v>4.251381641274999E-2</v>
      </c>
      <c r="R69" s="67">
        <f>C69*N69/100</f>
        <v>0.11222215978866941</v>
      </c>
      <c r="S69" s="67">
        <f>C69*O69/100</f>
        <v>1.7480223203458152</v>
      </c>
      <c r="T69" s="178">
        <f>C69*P69/100</f>
        <v>0</v>
      </c>
      <c r="U69" s="128"/>
    </row>
    <row r="70" spans="1:21" ht="72.75" customHeight="1">
      <c r="A70" s="198"/>
      <c r="B70" s="85" t="s">
        <v>145</v>
      </c>
      <c r="C70" s="64"/>
      <c r="D70" s="171"/>
      <c r="E70" s="179">
        <v>8865000</v>
      </c>
      <c r="F70" s="179">
        <f>E70+276600</f>
        <v>9141600</v>
      </c>
      <c r="G70" s="70">
        <f>F70+3125000</f>
        <v>12266600</v>
      </c>
      <c r="H70" s="70">
        <f>G70+2805000</f>
        <v>15071600</v>
      </c>
      <c r="I70" s="187">
        <v>69274</v>
      </c>
      <c r="J70" s="187">
        <v>188470.4938</v>
      </c>
      <c r="K70" s="187">
        <v>4580118</v>
      </c>
      <c r="L70" s="187"/>
      <c r="M70" s="188"/>
      <c r="N70" s="188"/>
      <c r="O70" s="188"/>
      <c r="P70" s="188"/>
      <c r="Q70" s="188"/>
      <c r="R70" s="188"/>
      <c r="S70" s="188"/>
      <c r="T70" s="189"/>
      <c r="U70" s="128"/>
    </row>
    <row r="71" spans="1:21" ht="73.5" customHeight="1">
      <c r="A71" s="202"/>
      <c r="B71" s="84" t="s">
        <v>146</v>
      </c>
      <c r="C71" s="64"/>
      <c r="D71" s="171"/>
      <c r="E71" s="179">
        <v>23745052</v>
      </c>
      <c r="F71" s="179">
        <v>23104406</v>
      </c>
      <c r="G71" s="70">
        <v>23298000</v>
      </c>
      <c r="H71" s="70">
        <v>24056554</v>
      </c>
      <c r="I71" s="187">
        <v>21822503</v>
      </c>
      <c r="J71" s="187">
        <v>21223027.813000001</v>
      </c>
      <c r="K71" s="187">
        <v>24882507</v>
      </c>
      <c r="L71" s="187"/>
      <c r="M71" s="188"/>
      <c r="N71" s="188"/>
      <c r="O71" s="188"/>
      <c r="P71" s="188"/>
      <c r="Q71" s="188"/>
      <c r="R71" s="188"/>
      <c r="S71" s="188"/>
      <c r="T71" s="189"/>
      <c r="U71" s="128"/>
    </row>
    <row r="72" spans="1:21" ht="15">
      <c r="A72" s="197" t="s">
        <v>147</v>
      </c>
      <c r="B72" s="84" t="s">
        <v>148</v>
      </c>
      <c r="C72" s="64"/>
      <c r="D72" s="171"/>
      <c r="E72" s="179"/>
      <c r="F72" s="179"/>
      <c r="G72" s="70"/>
      <c r="H72" s="70"/>
      <c r="I72" s="195"/>
      <c r="J72" s="195"/>
      <c r="K72" s="195"/>
      <c r="L72" s="195"/>
      <c r="M72" s="188"/>
      <c r="N72" s="188"/>
      <c r="O72" s="188"/>
      <c r="P72" s="188"/>
      <c r="Q72" s="188"/>
      <c r="R72" s="188"/>
      <c r="S72" s="188"/>
      <c r="T72" s="189"/>
      <c r="U72" s="183"/>
    </row>
    <row r="73" spans="1:21" ht="14.25">
      <c r="A73" s="202"/>
      <c r="B73" s="203" t="s">
        <v>149</v>
      </c>
      <c r="C73" s="64">
        <v>10</v>
      </c>
      <c r="D73" s="171">
        <v>10</v>
      </c>
      <c r="E73" s="171">
        <f>E74/E75</f>
        <v>3.213164440363617</v>
      </c>
      <c r="F73" s="171">
        <f>F74/F75</f>
        <v>6.4894624019443512</v>
      </c>
      <c r="G73" s="64">
        <f>G74/G75</f>
        <v>9.6293105842915221</v>
      </c>
      <c r="H73" s="64">
        <f>H74/H75</f>
        <v>12.876204181739011</v>
      </c>
      <c r="I73" s="64">
        <f t="shared" ref="I73:K73" si="15">I74/I75</f>
        <v>2.7032103820435571</v>
      </c>
      <c r="J73" s="64">
        <f t="shared" si="15"/>
        <v>5.8992592898262561</v>
      </c>
      <c r="K73" s="64">
        <f t="shared" si="15"/>
        <v>8.4556646855062549</v>
      </c>
      <c r="L73" s="64"/>
      <c r="M73" s="67">
        <f>I73/E73*100</f>
        <v>84.129226257018104</v>
      </c>
      <c r="N73" s="67">
        <f>J73/F73*100</f>
        <v>90.905207926911487</v>
      </c>
      <c r="O73" s="67">
        <f>K73/G73*100</f>
        <v>87.811734926279584</v>
      </c>
      <c r="P73" s="67">
        <f>L73/H73*100</f>
        <v>0</v>
      </c>
      <c r="Q73" s="67">
        <f>D73*M73/100</f>
        <v>8.4129226257018104</v>
      </c>
      <c r="R73" s="67">
        <f>C73*N73/100</f>
        <v>9.090520792691148</v>
      </c>
      <c r="S73" s="67">
        <f>O73*C73/100</f>
        <v>8.7811734926279588</v>
      </c>
      <c r="T73" s="178">
        <f>C73*P73/100</f>
        <v>0</v>
      </c>
      <c r="U73" s="169" t="s">
        <v>50</v>
      </c>
    </row>
    <row r="74" spans="1:21" ht="56.25" customHeight="1">
      <c r="A74" s="202"/>
      <c r="B74" s="85" t="s">
        <v>140</v>
      </c>
      <c r="C74" s="64"/>
      <c r="D74" s="171"/>
      <c r="E74" s="174">
        <v>74286736</v>
      </c>
      <c r="F74" s="174">
        <f>E74+73667627</f>
        <v>147954363</v>
      </c>
      <c r="G74" s="65">
        <f>F74+72518024</f>
        <v>220472387</v>
      </c>
      <c r="H74" s="65">
        <f>G74+79224420</f>
        <v>299696807</v>
      </c>
      <c r="I74" s="75">
        <f>I66</f>
        <v>59898329</v>
      </c>
      <c r="J74" s="65">
        <v>128948853</v>
      </c>
      <c r="K74" s="75">
        <v>200299658</v>
      </c>
      <c r="L74" s="190"/>
      <c r="M74" s="188"/>
      <c r="N74" s="188"/>
      <c r="O74" s="188"/>
      <c r="P74" s="188"/>
      <c r="Q74" s="188"/>
      <c r="R74" s="188"/>
      <c r="S74" s="188"/>
      <c r="T74" s="189"/>
      <c r="U74" s="128"/>
    </row>
    <row r="75" spans="1:21" ht="86.25" customHeight="1">
      <c r="A75" s="202"/>
      <c r="B75" s="85" t="s">
        <v>150</v>
      </c>
      <c r="C75" s="64"/>
      <c r="D75" s="171"/>
      <c r="E75" s="179">
        <f>(22493936+23745052)/2</f>
        <v>23119494</v>
      </c>
      <c r="F75" s="179">
        <f>(22493936+23104406)/2</f>
        <v>22799171</v>
      </c>
      <c r="G75" s="70">
        <f>(22493936+23298000)/2</f>
        <v>22895968</v>
      </c>
      <c r="H75" s="70">
        <f>(22493936+24056554)/2</f>
        <v>23275245</v>
      </c>
      <c r="I75" s="75">
        <f>(22493936+21822503)/2</f>
        <v>22158219.5</v>
      </c>
      <c r="J75" s="75">
        <f>(22493936+21223028)/2</f>
        <v>21858482</v>
      </c>
      <c r="K75" s="75">
        <f>(22493936+24882507)/2</f>
        <v>23688221.5</v>
      </c>
      <c r="L75" s="75"/>
      <c r="M75" s="188"/>
      <c r="N75" s="188"/>
      <c r="O75" s="188"/>
      <c r="P75" s="188"/>
      <c r="Q75" s="188"/>
      <c r="R75" s="188"/>
      <c r="S75" s="188"/>
      <c r="T75" s="189"/>
      <c r="U75" s="128"/>
    </row>
    <row r="76" spans="1:21" ht="25.5">
      <c r="A76" s="197" t="s">
        <v>151</v>
      </c>
      <c r="B76" s="84" t="s">
        <v>152</v>
      </c>
      <c r="C76" s="64"/>
      <c r="D76" s="171"/>
      <c r="E76" s="179"/>
      <c r="F76" s="179"/>
      <c r="G76" s="70"/>
      <c r="H76" s="70"/>
      <c r="I76" s="195"/>
      <c r="J76" s="195"/>
      <c r="K76" s="195"/>
      <c r="L76" s="195"/>
      <c r="M76" s="188"/>
      <c r="N76" s="188"/>
      <c r="O76" s="188"/>
      <c r="P76" s="188"/>
      <c r="Q76" s="188"/>
      <c r="R76" s="188"/>
      <c r="S76" s="188"/>
      <c r="T76" s="189"/>
      <c r="U76" s="169" t="s">
        <v>34</v>
      </c>
    </row>
    <row r="77" spans="1:21" ht="14.25">
      <c r="A77" s="202"/>
      <c r="B77" s="203" t="s">
        <v>153</v>
      </c>
      <c r="C77" s="64">
        <v>5</v>
      </c>
      <c r="D77" s="171">
        <v>5</v>
      </c>
      <c r="E77" s="171">
        <f>E78/377</f>
        <v>24.082228116710876</v>
      </c>
      <c r="F77" s="171">
        <f>F78/377</f>
        <v>50.132625994694962</v>
      </c>
      <c r="G77" s="64">
        <f>G78/377</f>
        <v>71.172413793103445</v>
      </c>
      <c r="H77" s="64">
        <f>H78/377</f>
        <v>98.095490716180365</v>
      </c>
      <c r="I77" s="64">
        <f>I78/I79</f>
        <v>27.936030769230765</v>
      </c>
      <c r="J77" s="64">
        <f>J78/J79</f>
        <v>60.99442367601246</v>
      </c>
      <c r="K77" s="64">
        <f>K78/K79</f>
        <v>62.156222222222219</v>
      </c>
      <c r="L77" s="64"/>
      <c r="M77" s="67">
        <f>I77/E77*100</f>
        <v>116.00268311488047</v>
      </c>
      <c r="N77" s="67">
        <f>J77/F77*100</f>
        <v>121.66612553363332</v>
      </c>
      <c r="O77" s="67">
        <f>K77/G77*100</f>
        <v>87.331901378122311</v>
      </c>
      <c r="P77" s="67">
        <f>L77/H77*100</f>
        <v>0</v>
      </c>
      <c r="Q77" s="67">
        <f>D77*M77/100</f>
        <v>5.8001341557440229</v>
      </c>
      <c r="R77" s="67">
        <f>C77*N77/100</f>
        <v>6.0833062766816655</v>
      </c>
      <c r="S77" s="67">
        <f>O77*C77/100</f>
        <v>4.3665950689061157</v>
      </c>
      <c r="T77" s="178">
        <f>C77*P77/100</f>
        <v>0</v>
      </c>
      <c r="U77" s="128"/>
    </row>
    <row r="78" spans="1:21" ht="15">
      <c r="A78" s="202"/>
      <c r="B78" s="85" t="s">
        <v>154</v>
      </c>
      <c r="C78" s="64"/>
      <c r="D78" s="171"/>
      <c r="E78" s="179">
        <v>9079</v>
      </c>
      <c r="F78" s="179">
        <v>18900</v>
      </c>
      <c r="G78" s="70">
        <f>F78+7932</f>
        <v>26832</v>
      </c>
      <c r="H78" s="70">
        <f>G78+10150</f>
        <v>36982</v>
      </c>
      <c r="I78" s="187">
        <v>9079.2099999999991</v>
      </c>
      <c r="J78" s="195">
        <v>19579.21</v>
      </c>
      <c r="K78" s="195">
        <v>19579.21</v>
      </c>
      <c r="L78" s="195"/>
      <c r="M78" s="188"/>
      <c r="N78" s="188"/>
      <c r="O78" s="188"/>
      <c r="P78" s="188"/>
      <c r="Q78" s="188"/>
      <c r="R78" s="188"/>
      <c r="S78" s="188"/>
      <c r="T78" s="189"/>
      <c r="U78" s="128"/>
    </row>
    <row r="79" spans="1:21" ht="25.5">
      <c r="A79" s="202"/>
      <c r="B79" s="85" t="s">
        <v>155</v>
      </c>
      <c r="C79" s="64"/>
      <c r="D79" s="171"/>
      <c r="E79" s="172">
        <v>329</v>
      </c>
      <c r="F79" s="172">
        <v>329</v>
      </c>
      <c r="G79" s="75">
        <v>329</v>
      </c>
      <c r="H79" s="75">
        <v>329</v>
      </c>
      <c r="I79" s="187">
        <v>325</v>
      </c>
      <c r="J79" s="187">
        <v>321</v>
      </c>
      <c r="K79" s="187">
        <v>315</v>
      </c>
      <c r="L79" s="187"/>
      <c r="M79" s="188"/>
      <c r="N79" s="188"/>
      <c r="O79" s="188"/>
      <c r="P79" s="188"/>
      <c r="Q79" s="188"/>
      <c r="R79" s="188"/>
      <c r="S79" s="188"/>
      <c r="T79" s="189"/>
      <c r="U79" s="128"/>
    </row>
    <row r="80" spans="1:21" ht="15">
      <c r="A80" s="197" t="s">
        <v>156</v>
      </c>
      <c r="B80" s="84" t="s">
        <v>157</v>
      </c>
      <c r="C80" s="64"/>
      <c r="D80" s="171"/>
      <c r="E80" s="179"/>
      <c r="F80" s="179"/>
      <c r="G80" s="70"/>
      <c r="H80" s="70"/>
      <c r="I80" s="195"/>
      <c r="J80" s="195"/>
      <c r="K80" s="195"/>
      <c r="L80" s="195"/>
      <c r="M80" s="188"/>
      <c r="N80" s="188"/>
      <c r="O80" s="188"/>
      <c r="P80" s="188"/>
      <c r="Q80" s="188"/>
      <c r="R80" s="188"/>
      <c r="S80" s="188"/>
      <c r="T80" s="189"/>
      <c r="U80" s="128"/>
    </row>
    <row r="81" spans="1:22" ht="14.25">
      <c r="A81" s="197"/>
      <c r="B81" s="203" t="s">
        <v>158</v>
      </c>
      <c r="C81" s="64">
        <v>5</v>
      </c>
      <c r="D81" s="171">
        <v>5</v>
      </c>
      <c r="E81" s="171">
        <f>329/327</f>
        <v>1.0061162079510704</v>
      </c>
      <c r="F81" s="171">
        <f>329/327</f>
        <v>1.0061162079510704</v>
      </c>
      <c r="G81" s="64">
        <f>329/327</f>
        <v>1.0061162079510704</v>
      </c>
      <c r="H81" s="64">
        <f>329/327</f>
        <v>1.0061162079510704</v>
      </c>
      <c r="I81" s="64">
        <f>329/325</f>
        <v>1.0123076923076924</v>
      </c>
      <c r="J81" s="64">
        <f>329/325</f>
        <v>1.0123076923076924</v>
      </c>
      <c r="K81" s="64">
        <f>329/315</f>
        <v>1.0444444444444445</v>
      </c>
      <c r="L81" s="64"/>
      <c r="M81" s="67">
        <f>E81/I81*100</f>
        <v>99.388379204892956</v>
      </c>
      <c r="N81" s="67">
        <f>F81/J81*100</f>
        <v>99.388379204892956</v>
      </c>
      <c r="O81" s="67">
        <f>G81/K81*100</f>
        <v>96.330275229357795</v>
      </c>
      <c r="P81" s="67" t="e">
        <f>H81/L81*100</f>
        <v>#DIV/0!</v>
      </c>
      <c r="Q81" s="67">
        <f>C81*M81/100</f>
        <v>4.9694189602446475</v>
      </c>
      <c r="R81" s="67">
        <f>C81*N81/100</f>
        <v>4.9694189602446475</v>
      </c>
      <c r="S81" s="67">
        <f>O81*C81/100</f>
        <v>4.8165137614678892</v>
      </c>
      <c r="T81" s="178" t="e">
        <f>C81*P81/100</f>
        <v>#DIV/0!</v>
      </c>
      <c r="U81" s="169" t="s">
        <v>44</v>
      </c>
    </row>
    <row r="82" spans="1:22" ht="33" customHeight="1">
      <c r="A82" s="197"/>
      <c r="B82" s="85" t="s">
        <v>159</v>
      </c>
      <c r="C82" s="70"/>
      <c r="D82" s="179"/>
      <c r="E82" s="179" t="s">
        <v>160</v>
      </c>
      <c r="F82" s="179" t="s">
        <v>160</v>
      </c>
      <c r="G82" s="70" t="s">
        <v>160</v>
      </c>
      <c r="H82" s="70" t="s">
        <v>160</v>
      </c>
      <c r="I82" s="70" t="s">
        <v>161</v>
      </c>
      <c r="J82" s="70" t="s">
        <v>162</v>
      </c>
      <c r="K82" s="70" t="s">
        <v>163</v>
      </c>
      <c r="L82" s="195"/>
      <c r="M82" s="188"/>
      <c r="N82" s="188"/>
      <c r="O82" s="188"/>
      <c r="P82" s="188"/>
      <c r="Q82" s="188"/>
      <c r="R82" s="188"/>
      <c r="S82" s="188"/>
      <c r="T82" s="189"/>
      <c r="U82" s="128"/>
    </row>
    <row r="83" spans="1:22" ht="38.25">
      <c r="A83" s="197" t="s">
        <v>164</v>
      </c>
      <c r="B83" s="84" t="s">
        <v>165</v>
      </c>
      <c r="C83" s="64"/>
      <c r="D83" s="171"/>
      <c r="E83" s="179"/>
      <c r="F83" s="179"/>
      <c r="G83" s="70"/>
      <c r="H83" s="70"/>
      <c r="I83" s="195"/>
      <c r="J83" s="195"/>
      <c r="K83" s="195"/>
      <c r="L83" s="195"/>
      <c r="M83" s="188"/>
      <c r="N83" s="188"/>
      <c r="O83" s="188"/>
      <c r="P83" s="188"/>
      <c r="Q83" s="188"/>
      <c r="R83" s="188"/>
      <c r="S83" s="188"/>
      <c r="T83" s="189"/>
      <c r="U83" s="169" t="s">
        <v>44</v>
      </c>
    </row>
    <row r="84" spans="1:22" ht="14.25">
      <c r="A84" s="202"/>
      <c r="B84" s="205" t="s">
        <v>166</v>
      </c>
      <c r="C84" s="64">
        <v>10</v>
      </c>
      <c r="D84" s="171">
        <v>10</v>
      </c>
      <c r="E84" s="184">
        <f>E85/E86*100</f>
        <v>6.1660876668970976</v>
      </c>
      <c r="F84" s="184">
        <f>F85/F86*100</f>
        <v>6.1553634824558561</v>
      </c>
      <c r="G84" s="67">
        <f>G85/G86*100</f>
        <v>6.2384299917817927</v>
      </c>
      <c r="H84" s="67">
        <f>H85/H86*100</f>
        <v>6.2952480422595301</v>
      </c>
      <c r="I84" s="67">
        <f t="shared" ref="I84:K84" si="16">I85/I86*100</f>
        <v>6.051184911379984</v>
      </c>
      <c r="J84" s="67">
        <f t="shared" si="16"/>
        <v>5.5503636377452219</v>
      </c>
      <c r="K84" s="67">
        <f t="shared" si="16"/>
        <v>6.9778826857887246</v>
      </c>
      <c r="L84" s="67"/>
      <c r="M84" s="67">
        <f>E84/I84*100</f>
        <v>101.8988472043058</v>
      </c>
      <c r="N84" s="67">
        <f>F84/J84*100</f>
        <v>110.90018391941629</v>
      </c>
      <c r="O84" s="67">
        <f>G84/K84*100</f>
        <v>89.40290733874167</v>
      </c>
      <c r="P84" s="67" t="e">
        <f>H84/L84*100</f>
        <v>#DIV/0!</v>
      </c>
      <c r="Q84" s="67">
        <f>C84*M84/100</f>
        <v>10.18988472043058</v>
      </c>
      <c r="R84" s="67">
        <f>C84*N84/100</f>
        <v>11.09001839194163</v>
      </c>
      <c r="S84" s="67">
        <f>O84*C84/100</f>
        <v>8.9402907338741677</v>
      </c>
      <c r="T84" s="178" t="e">
        <f>C84*P84/100</f>
        <v>#DIV/0!</v>
      </c>
      <c r="U84" s="128"/>
    </row>
    <row r="85" spans="1:22" ht="54.75" customHeight="1">
      <c r="A85" s="202"/>
      <c r="B85" s="85" t="s">
        <v>167</v>
      </c>
      <c r="C85" s="64"/>
      <c r="D85" s="171"/>
      <c r="E85" s="172">
        <v>3855599</v>
      </c>
      <c r="F85" s="172">
        <f>E85+3787806</f>
        <v>7643405</v>
      </c>
      <c r="G85" s="75">
        <f>F85+3723187</f>
        <v>11366592</v>
      </c>
      <c r="H85" s="75">
        <f>G85+4089728</f>
        <v>15456320</v>
      </c>
      <c r="I85" s="187">
        <v>3397328</v>
      </c>
      <c r="J85" s="187">
        <v>5697385</v>
      </c>
      <c r="K85" s="187">
        <v>10449544</v>
      </c>
      <c r="L85" s="187"/>
      <c r="M85" s="188"/>
      <c r="N85" s="188"/>
      <c r="O85" s="188"/>
      <c r="P85" s="188"/>
      <c r="Q85" s="188"/>
      <c r="R85" s="188"/>
      <c r="S85" s="188"/>
      <c r="T85" s="189"/>
      <c r="U85" s="128"/>
    </row>
    <row r="86" spans="1:22" ht="25.5">
      <c r="A86" s="202"/>
      <c r="B86" s="85" t="s">
        <v>168</v>
      </c>
      <c r="C86" s="64"/>
      <c r="D86" s="171"/>
      <c r="E86" s="172">
        <v>62529098</v>
      </c>
      <c r="F86" s="172">
        <f>E86+61645616</f>
        <v>124174714</v>
      </c>
      <c r="G86" s="75">
        <f>F86+58028052</f>
        <v>182202766</v>
      </c>
      <c r="H86" s="75">
        <f>G86+63320840</f>
        <v>245523606</v>
      </c>
      <c r="I86" s="187">
        <v>56143186</v>
      </c>
      <c r="J86" s="187">
        <v>102648860</v>
      </c>
      <c r="K86" s="187">
        <v>149752360</v>
      </c>
      <c r="L86" s="187"/>
      <c r="M86" s="188"/>
      <c r="N86" s="188"/>
      <c r="O86" s="188"/>
      <c r="P86" s="188"/>
      <c r="Q86" s="188"/>
      <c r="R86" s="188"/>
      <c r="S86" s="188"/>
      <c r="T86" s="189"/>
      <c r="U86" s="128"/>
    </row>
    <row r="87" spans="1:22" ht="15">
      <c r="A87" s="181"/>
      <c r="B87" s="74"/>
      <c r="C87" s="64">
        <f>SUM(C14:C86)</f>
        <v>99.999987500000003</v>
      </c>
      <c r="D87" s="171">
        <f>SUM(D14:D86)</f>
        <v>100</v>
      </c>
      <c r="E87" s="179"/>
      <c r="F87" s="179"/>
      <c r="G87" s="70"/>
      <c r="H87" s="70"/>
      <c r="I87" s="187"/>
      <c r="J87" s="187"/>
      <c r="K87" s="187"/>
      <c r="L87" s="187"/>
      <c r="M87" s="188"/>
      <c r="N87" s="188"/>
      <c r="O87" s="188"/>
      <c r="P87" s="188"/>
      <c r="Q87" s="188"/>
      <c r="R87" s="188"/>
      <c r="S87" s="188"/>
      <c r="T87" s="189"/>
      <c r="U87" s="128"/>
    </row>
    <row r="88" spans="1:22" ht="15.75" thickBot="1">
      <c r="A88" s="206"/>
      <c r="B88" s="207" t="s">
        <v>169</v>
      </c>
      <c r="C88" s="208"/>
      <c r="D88" s="208"/>
      <c r="E88" s="209"/>
      <c r="F88" s="209"/>
      <c r="G88" s="100"/>
      <c r="H88" s="100"/>
      <c r="I88" s="210"/>
      <c r="J88" s="210"/>
      <c r="K88" s="210"/>
      <c r="L88" s="210"/>
      <c r="M88" s="211"/>
      <c r="N88" s="211"/>
      <c r="O88" s="211"/>
      <c r="P88" s="211"/>
      <c r="Q88" s="212">
        <f>SUM(Q14:Q87)</f>
        <v>113.03889690235171</v>
      </c>
      <c r="R88" s="212">
        <f>SUM(R14:R87)</f>
        <v>118.19531216351901</v>
      </c>
      <c r="S88" s="212">
        <f>SUM(S14:S87)</f>
        <v>131.41798407613607</v>
      </c>
      <c r="T88" s="213" t="e">
        <f>SUM(T14:T87)</f>
        <v>#DIV/0!</v>
      </c>
      <c r="U88" s="128"/>
    </row>
    <row r="89" spans="1:22">
      <c r="A89" s="104"/>
      <c r="B89" s="104"/>
      <c r="C89" s="105"/>
      <c r="D89" s="105"/>
      <c r="E89" s="104"/>
      <c r="F89" s="104"/>
      <c r="G89" s="104"/>
      <c r="H89" s="104"/>
    </row>
    <row r="90" spans="1:22" ht="15">
      <c r="A90" s="104"/>
      <c r="B90" s="1"/>
      <c r="C90" s="2"/>
      <c r="D90" s="2"/>
      <c r="E90" s="3"/>
      <c r="F90" s="104"/>
      <c r="G90" s="104"/>
      <c r="H90" s="104"/>
    </row>
    <row r="91" spans="1:22" ht="15.75">
      <c r="A91" s="104"/>
      <c r="B91" s="214" t="s">
        <v>74</v>
      </c>
      <c r="C91" s="214"/>
      <c r="D91" s="215" t="s">
        <v>75</v>
      </c>
      <c r="E91" s="215"/>
      <c r="F91" s="215"/>
      <c r="G91" s="215"/>
      <c r="H91" s="215"/>
      <c r="I91" s="215"/>
      <c r="J91" s="215"/>
      <c r="K91" s="215"/>
    </row>
    <row r="92" spans="1:22" ht="15.75">
      <c r="A92" s="104"/>
      <c r="B92" s="117"/>
      <c r="C92" s="216"/>
      <c r="D92" s="216"/>
      <c r="E92" s="217"/>
      <c r="F92" s="217"/>
      <c r="G92" s="106"/>
      <c r="H92" s="106"/>
    </row>
    <row r="93" spans="1:22" ht="15.75">
      <c r="A93" s="104"/>
      <c r="B93" s="117" t="s">
        <v>76</v>
      </c>
      <c r="C93" s="216"/>
      <c r="D93" s="218" t="s">
        <v>77</v>
      </c>
      <c r="E93" s="218"/>
      <c r="F93" s="218"/>
      <c r="G93" s="218"/>
      <c r="H93" s="218"/>
      <c r="I93" s="218"/>
      <c r="J93" s="218"/>
      <c r="K93" s="218"/>
    </row>
    <row r="94" spans="1:22">
      <c r="I94" t="s">
        <v>170</v>
      </c>
      <c r="J94" t="s">
        <v>171</v>
      </c>
      <c r="K94" s="219" t="s">
        <v>172</v>
      </c>
      <c r="L94" s="220" t="s">
        <v>173</v>
      </c>
      <c r="M94" s="219"/>
      <c r="N94" s="219"/>
      <c r="O94" s="219"/>
      <c r="P94" s="219"/>
      <c r="Q94" s="219"/>
      <c r="R94" s="219"/>
      <c r="S94" s="219"/>
      <c r="T94" s="219"/>
      <c r="U94" s="219"/>
      <c r="V94" s="219"/>
    </row>
    <row r="95" spans="1:22">
      <c r="H95" t="s">
        <v>174</v>
      </c>
      <c r="I95" s="116">
        <v>9569744</v>
      </c>
      <c r="J95" s="221">
        <v>9569744</v>
      </c>
      <c r="K95" s="222">
        <v>19139488</v>
      </c>
      <c r="L95" s="222">
        <v>19139488</v>
      </c>
      <c r="M95" s="222"/>
      <c r="N95" s="222"/>
      <c r="O95" s="219"/>
      <c r="P95" s="219"/>
      <c r="Q95" s="219"/>
      <c r="R95" s="219"/>
      <c r="S95" s="219"/>
      <c r="T95" s="219"/>
      <c r="U95" s="219"/>
      <c r="V95" s="219"/>
    </row>
    <row r="96" spans="1:22">
      <c r="H96" t="s">
        <v>86</v>
      </c>
      <c r="I96" s="116">
        <v>15087272</v>
      </c>
      <c r="J96" s="221">
        <v>6686593</v>
      </c>
      <c r="K96" s="222">
        <v>9001913</v>
      </c>
      <c r="L96" s="222">
        <v>4249649</v>
      </c>
      <c r="M96" s="222"/>
      <c r="N96" s="219"/>
      <c r="O96" s="219"/>
      <c r="P96" s="219"/>
      <c r="Q96" s="219"/>
      <c r="R96" s="219"/>
      <c r="S96" s="219"/>
      <c r="T96" s="219"/>
      <c r="U96" s="219"/>
      <c r="V96" s="219"/>
    </row>
    <row r="97" spans="8:22">
      <c r="H97" s="223" t="s">
        <v>175</v>
      </c>
      <c r="I97" s="224"/>
      <c r="J97" s="221"/>
      <c r="K97" s="222"/>
      <c r="L97" s="222"/>
      <c r="M97" s="222"/>
      <c r="N97" s="219"/>
      <c r="O97" s="219"/>
      <c r="P97" s="219"/>
      <c r="Q97" s="219"/>
      <c r="R97" s="219"/>
      <c r="S97" s="219"/>
      <c r="T97" s="219"/>
      <c r="U97" s="219"/>
      <c r="V97" s="219"/>
    </row>
    <row r="98" spans="8:22">
      <c r="H98" s="225">
        <f>((I95+I96)+(J95+J96))/2</f>
        <v>20456676.5</v>
      </c>
      <c r="I98" s="224"/>
      <c r="J98" s="224"/>
      <c r="K98" s="226">
        <f>((I95+I96)+(K95+K96))/2</f>
        <v>26399208.5</v>
      </c>
      <c r="L98" s="226">
        <f>((I95+I96)+(L95+L96))/2</f>
        <v>24023076.5</v>
      </c>
      <c r="M98" s="226"/>
      <c r="N98" s="226"/>
      <c r="O98" s="219"/>
      <c r="P98" s="219"/>
      <c r="Q98" s="219"/>
      <c r="R98" s="219"/>
      <c r="S98" s="219"/>
      <c r="T98" s="219"/>
      <c r="U98" s="219"/>
      <c r="V98" s="219"/>
    </row>
    <row r="99" spans="8:22">
      <c r="I99" s="221"/>
      <c r="J99" s="221"/>
      <c r="K99" s="222"/>
      <c r="L99" s="219"/>
      <c r="M99" s="219"/>
      <c r="N99" s="222"/>
      <c r="O99" s="219"/>
      <c r="P99" s="219"/>
      <c r="Q99" s="219"/>
      <c r="R99" s="219"/>
      <c r="S99" s="219"/>
      <c r="T99" s="219"/>
      <c r="U99" s="219"/>
      <c r="V99" s="219"/>
    </row>
    <row r="100" spans="8:22">
      <c r="H100" t="s">
        <v>83</v>
      </c>
      <c r="I100" s="116">
        <v>79299588</v>
      </c>
      <c r="J100" s="221">
        <v>79844928</v>
      </c>
      <c r="K100" s="222">
        <v>76157652</v>
      </c>
      <c r="L100" s="219">
        <v>86395586</v>
      </c>
      <c r="M100" s="219"/>
      <c r="N100" s="226"/>
      <c r="O100" s="219"/>
      <c r="P100" s="219"/>
      <c r="Q100" s="219"/>
      <c r="R100" s="219"/>
      <c r="S100" s="219"/>
      <c r="T100" s="219"/>
      <c r="U100" s="219"/>
      <c r="V100" s="219"/>
    </row>
    <row r="101" spans="8:22">
      <c r="H101" t="s">
        <v>86</v>
      </c>
      <c r="I101" s="116">
        <v>15087272</v>
      </c>
      <c r="J101" s="221">
        <v>6686593</v>
      </c>
      <c r="K101" s="222">
        <v>9001913</v>
      </c>
      <c r="L101" s="222">
        <v>4249649</v>
      </c>
      <c r="M101" s="219"/>
      <c r="N101" s="219"/>
      <c r="O101" s="219"/>
      <c r="P101" s="219"/>
      <c r="Q101" s="219"/>
      <c r="R101" s="219"/>
      <c r="S101" s="219"/>
      <c r="T101" s="219"/>
      <c r="U101" s="219"/>
      <c r="V101" s="219"/>
    </row>
    <row r="102" spans="8:22">
      <c r="H102" s="223" t="s">
        <v>176</v>
      </c>
      <c r="I102" s="223"/>
      <c r="K102" s="219"/>
      <c r="L102" s="219"/>
      <c r="M102" s="219"/>
      <c r="N102" s="219"/>
      <c r="O102" s="219"/>
      <c r="P102" s="219"/>
      <c r="Q102" s="219"/>
      <c r="R102" s="219"/>
      <c r="S102" s="219"/>
      <c r="T102" s="219"/>
      <c r="U102" s="219"/>
      <c r="V102" s="219"/>
    </row>
    <row r="103" spans="8:22">
      <c r="H103" s="225">
        <f>((I100-I101)+(J100-J101))/2</f>
        <v>68685325.5</v>
      </c>
      <c r="I103" s="223"/>
      <c r="J103" s="223"/>
      <c r="K103" s="226">
        <f>((I100-I101)+(K100-K101))/2</f>
        <v>65684027.5</v>
      </c>
      <c r="L103" s="226">
        <f>((I100-I101)+(L100-L101))/2</f>
        <v>73179126.5</v>
      </c>
      <c r="M103" s="226"/>
      <c r="N103" s="219"/>
      <c r="O103" s="219"/>
      <c r="P103" s="219"/>
      <c r="Q103" s="219"/>
      <c r="R103" s="219"/>
      <c r="S103" s="219"/>
      <c r="T103" s="219"/>
      <c r="U103" s="219"/>
      <c r="V103" s="219"/>
    </row>
    <row r="104" spans="8:22">
      <c r="K104" s="226"/>
      <c r="L104" s="219"/>
      <c r="M104" s="219"/>
      <c r="N104" s="219"/>
      <c r="O104" s="219"/>
      <c r="P104" s="219"/>
      <c r="Q104" s="219"/>
      <c r="R104" s="219"/>
      <c r="S104" s="219"/>
      <c r="T104" s="219"/>
      <c r="U104" s="219"/>
      <c r="V104" s="219"/>
    </row>
    <row r="105" spans="8:22">
      <c r="K105" s="116"/>
      <c r="L105" s="116"/>
      <c r="M105" s="116"/>
    </row>
    <row r="106" spans="8:22">
      <c r="K106" s="227"/>
      <c r="L106" s="227"/>
      <c r="M106" s="227"/>
    </row>
  </sheetData>
  <mergeCells count="19">
    <mergeCell ref="B91:C91"/>
    <mergeCell ref="D91:K91"/>
    <mergeCell ref="D93:K93"/>
    <mergeCell ref="A10:A12"/>
    <mergeCell ref="B10:B12"/>
    <mergeCell ref="C10:C12"/>
    <mergeCell ref="D10:D12"/>
    <mergeCell ref="E10:T10"/>
    <mergeCell ref="G11:G12"/>
    <mergeCell ref="K11:K12"/>
    <mergeCell ref="O11:Q12"/>
    <mergeCell ref="R11:R12"/>
    <mergeCell ref="S11:S12"/>
    <mergeCell ref="F1:S1"/>
    <mergeCell ref="F2:S2"/>
    <mergeCell ref="F3:S3"/>
    <mergeCell ref="A6:H6"/>
    <mergeCell ref="A7:S7"/>
    <mergeCell ref="A8:S8"/>
  </mergeCells>
  <pageMargins left="0.79" right="0.19685039370078741" top="0.74803149606299213" bottom="0.35433070866141736" header="0.31496062992125984" footer="0.23622047244094491"/>
  <pageSetup paperSize="9" scale="8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14"/>
  <sheetViews>
    <sheetView workbookViewId="0">
      <selection activeCell="B30" sqref="B30"/>
    </sheetView>
  </sheetViews>
  <sheetFormatPr defaultRowHeight="12.75"/>
  <cols>
    <col min="1" max="1" width="53.7109375" customWidth="1"/>
    <col min="2" max="2" width="37.7109375" customWidth="1"/>
  </cols>
  <sheetData>
    <row r="1" spans="1:2" ht="21.75" customHeight="1">
      <c r="A1" s="228" t="s">
        <v>177</v>
      </c>
      <c r="B1" s="228"/>
    </row>
    <row r="2" spans="1:2" ht="21" customHeight="1">
      <c r="A2" s="228" t="s">
        <v>178</v>
      </c>
      <c r="B2" s="228"/>
    </row>
    <row r="3" spans="1:2" ht="21" customHeight="1" thickBot="1"/>
    <row r="4" spans="1:2" ht="16.5" thickBot="1">
      <c r="A4" s="229" t="s">
        <v>179</v>
      </c>
      <c r="B4" s="230" t="s">
        <v>23</v>
      </c>
    </row>
    <row r="5" spans="1:2" ht="39" customHeight="1">
      <c r="A5" s="231" t="s">
        <v>180</v>
      </c>
      <c r="B5" s="232">
        <f>'[1]КПЭ основ 9 мес'!S45</f>
        <v>135.20078214416696</v>
      </c>
    </row>
    <row r="6" spans="1:2" ht="38.25" customHeight="1">
      <c r="A6" s="233" t="s">
        <v>181</v>
      </c>
      <c r="B6" s="234">
        <f>'[1]КПЭ допол9 мес'!S88</f>
        <v>131.41798407613607</v>
      </c>
    </row>
    <row r="7" spans="1:2" ht="34.5" customHeight="1" thickBot="1">
      <c r="A7" s="235" t="s">
        <v>182</v>
      </c>
      <c r="B7" s="236">
        <f>(B5+B6)/2</f>
        <v>133.30938311015151</v>
      </c>
    </row>
    <row r="8" spans="1:2" ht="50.25" customHeight="1"/>
    <row r="9" spans="1:2" ht="15.75">
      <c r="A9" s="237" t="s">
        <v>183</v>
      </c>
      <c r="B9" s="237"/>
    </row>
    <row r="10" spans="1:2" ht="20.25" customHeight="1">
      <c r="A10" s="238" t="s">
        <v>184</v>
      </c>
      <c r="B10" s="239"/>
    </row>
    <row r="11" spans="1:2" ht="15.75">
      <c r="A11" s="240"/>
      <c r="B11" s="240"/>
    </row>
    <row r="12" spans="1:2" ht="15.75">
      <c r="A12" s="241" t="s">
        <v>185</v>
      </c>
      <c r="B12" s="241"/>
    </row>
    <row r="13" spans="1:2">
      <c r="A13" s="223"/>
      <c r="B13" s="223"/>
    </row>
    <row r="14" spans="1:2" ht="15.75">
      <c r="A14" s="241" t="s">
        <v>186</v>
      </c>
      <c r="B14" s="241"/>
    </row>
  </sheetData>
  <mergeCells count="5">
    <mergeCell ref="A1:B1"/>
    <mergeCell ref="A2:B2"/>
    <mergeCell ref="A9:B9"/>
    <mergeCell ref="A12:B12"/>
    <mergeCell ref="A14:B14"/>
  </mergeCells>
  <pageMargins left="0.70866141732283472" right="0.3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КПЭ основ 9 мес</vt:lpstr>
      <vt:lpstr>КПЭ допол9 мес</vt:lpstr>
      <vt:lpstr>Интеграл коэф 9мес 23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2023-10-18T03:36:30Z</dcterms:created>
  <dcterms:modified xsi:type="dcterms:W3CDTF">2023-10-18T03:39:02Z</dcterms:modified>
</cp:coreProperties>
</file>